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tK12qWmnZh1NbQuYlEZoye85Z2k2Fsb/IJVd9vE5IKRTT/H2YOjxCEccFrYYWVKdtV13H61phRIifQdEfn5XyA==" workbookSaltValue="SOGcDFpl3QcrcPBZGh3G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6" i="2"/>
  <c r="U9" i="17"/>
  <c r="U19" i="17" s="1"/>
  <c r="AP13" i="16"/>
  <c r="T18" i="17"/>
  <c r="BG15" i="13"/>
  <c r="BE16" i="13"/>
  <c r="BE15" i="13"/>
  <c r="AX20" i="20"/>
  <c r="S19" i="8" l="1"/>
  <c r="C12" i="14"/>
  <c r="K12" i="14" s="1"/>
  <c r="AB13" i="21"/>
  <c r="L9" i="2"/>
  <c r="X10" i="21"/>
  <c r="L15" i="2"/>
  <c r="BH16" i="11"/>
  <c r="BH10" i="16"/>
  <c r="BH10" i="11"/>
  <c r="AZ12" i="11"/>
  <c r="BU16" i="17"/>
  <c r="BW11" i="20"/>
  <c r="BU10" i="17"/>
  <c r="AP17" i="20"/>
  <c r="BG15" i="11"/>
  <c r="BI15" i="11"/>
  <c r="V11" i="11"/>
  <c r="BL17" i="11"/>
  <c r="BH17" i="16"/>
  <c r="AL16" i="11"/>
  <c r="C16" i="6"/>
  <c r="BE9" i="13"/>
  <c r="T9" i="11"/>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<sst xmlns="http://schemas.openxmlformats.org/spreadsheetml/2006/main" count="2074" uniqueCount="909">
  <si>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</si>
  <si>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</si>
  <si>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</si>
  <si>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</si>
  <si>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</si>
  <si>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</si>
  <si>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</si>
  <si>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</si>
  <si>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</si>
  <si>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</si>
  <si>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</si>
  <si>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</si>
  <si>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</si>
  <si>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</si>
  <si>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</si>
  <si>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</si>
  <si>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</si>
  <si>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</si>
  <si>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</si>
  <si>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</si>
  <si>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</si>
  <si>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</si>
  <si>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</si>
  <si>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</si>
  <si>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</si>
  <si>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</si>
  <si>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</si>
  <si>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</si>
  <si>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</si>
  <si>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</si>
  <si>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</si>
  <si>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</si>
  <si>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</si>
  <si>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</si>
  <si>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</si>
  <si>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</si>
  <si>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</si>
  <si>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</si>
  <si>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</si>
  <si>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</si>
  <si>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</si>
  <si>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</si>
  <si>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</si>
  <si>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</si>
  <si>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</si>
  <si>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</si>
  <si>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</si>
  <si>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</si>
  <si>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</si>
  <si>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</si>
  <si>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</si>
  <si>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</si>
  <si>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</si>
  <si>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</si>
  <si>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</si>
  <si>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</si>
  <si>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</si>
  <si>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</si>
  <si>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</si>
  <si>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</si>
  <si>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</si>
  <si>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</si>
  <si>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</si>
  <si>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</si>
  <si>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</si>
  <si>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</si>
  <si>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</si>
  <si>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</si>
  <si>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</si>
  <si>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</si>
  <si>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</si>
  <si>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</si>
  <si>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</si>
  <si>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</si>
  <si>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</si>
  <si>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</si>
  <si>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</si>
  <si>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</si>
  <si>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</si>
  <si>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</si>
  <si>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</si>
  <si>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</si>
  <si>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</si>
  <si>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</si>
  <si>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</si>
  <si>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</si>
  <si>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</si>
  <si>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</si>
  <si>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</si>
  <si>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</si>
  <si>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</si>
  <si>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</si>
  <si>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</si>
  <si>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</si>
  <si>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</si>
  <si>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</si>
  <si>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</si>
  <si>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</si>
  <si>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</si>
  <si>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</si>
  <si>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</si>
  <si>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</si>
  <si>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</si>
  <si>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</si>
  <si>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</si>
  <si>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</si>
  <si>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</si>
  <si>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</si>
  <si>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</si>
  <si>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</si>
  <si>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</si>
  <si>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</si>
  <si>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</si>
  <si>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</si>
  <si>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</si>
  <si>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</si>
  <si>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</si>
  <si>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</si>
  <si>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</si>
  <si>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</si>
  <si>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</si>
  <si>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</si>
  <si>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</si>
  <si>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</si>
  <si>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</si>
  <si>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</si>
  <si>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</si>
  <si>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</si>
  <si>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</si>
  <si>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</si>
  <si>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</si>
  <si>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</si>
  <si>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</si>
  <si>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</si>
  <si>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</si>
  <si>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</si>
  <si>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</si>
  <si>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</si>
  <si>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</si>
  <si>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</si>
  <si>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</si>
  <si>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</si>
  <si>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</si>
  <si>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</si>
  <si>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</si>
  <si>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</si>
  <si>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</si>
  <si>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</si>
  <si>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</si>
  <si>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</si>
  <si>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</si>
  <si>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</si>
  <si>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</si>
  <si>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</si>
  <si>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</si>
  <si>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</si>
  <si>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</si>
  <si>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</si>
  <si>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</si>
  <si>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</si>
  <si>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</si>
  <si>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</si>
  <si>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</si>
  <si>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</si>
  <si>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</si>
  <si>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</si>
  <si>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</si>
  <si>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</si>
  <si>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</si>
  <si>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</si>
  <si>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</si>
  <si>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</si>
  <si>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</si>
  <si>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</si>
  <si>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</si>
  <si>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</si>
  <si>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</si>
  <si>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</si>
  <si>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</si>
  <si>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</si>
  <si>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</si>
  <si>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</si>
  <si>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</si>
  <si>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</si>
  <si>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</si>
  <si>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</si>
  <si>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</si>
  <si>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</si>
  <si>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</si>
  <si>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</si>
  <si>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</si>
  <si>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</si>
  <si>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</si>
  <si>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</si>
  <si>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</si>
  <si>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</si>
  <si>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</si>
  <si>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</si>
  <si>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</si>
  <si>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</si>
  <si>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</si>
  <si>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</si>
  <si>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</si>
  <si>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</si>
  <si>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</si>
  <si>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</si>
  <si>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</si>
  <si>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</si>
  <si>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</si>
  <si>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</si>
  <si>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</si>
  <si>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</si>
  <si>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</si>
  <si>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</si>
  <si>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</si>
  <si>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</si>
  <si>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</si>
  <si>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</si>
  <si>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</si>
  <si>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</si>
  <si>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</si>
  <si>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</si>
  <si>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</si>
  <si>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</si>
  <si>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</si>
  <si>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</si>
  <si>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</si>
  <si>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</si>
  <si>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</si>
  <si>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</si>
  <si>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</si>
  <si>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</si>
  <si>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</si>
  <si>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</si>
  <si>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</si>
  <si>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</si>
  <si>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</si>
  <si>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</si>
  <si>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</si>
  <si>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</si>
  <si>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</si>
  <si>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</si>
  <si>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</si>
  <si>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</si>
  <si>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</si>
  <si>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</si>
  <si>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</si>
  <si>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</si>
  <si>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</si>
  <si>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</si>
  <si>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</si>
  <si>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</si>
  <si>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</si>
  <si>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</si>
  <si>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</si>
  <si>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</si>
  <si>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</si>
  <si>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</si>
  <si>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</si>
  <si>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</si>
  <si>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</si>
  <si>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</si>
  <si>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</si>
  <si>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</si>
  <si>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</si>
  <si>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</si>
  <si>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</si>
  <si>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</si>
  <si>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</si>
  <si>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</si>
  <si>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</si>
  <si>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</si>
  <si>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</si>
  <si>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</si>
  <si>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</si>
  <si>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</si>
  <si>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</si>
  <si>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</si>
  <si>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</si>
  <si>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</si>
  <si>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</si>
  <si>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</si>
  <si>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</si>
  <si>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</si>
  <si>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</si>
  <si>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</si>
  <si>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</si>
  <si>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</si>
  <si>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</si>
  <si>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</si>
  <si>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</si>
  <si>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</si>
  <si>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</si>
  <si>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</si>
  <si>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</si>
  <si>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</si>
  <si>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</si>
  <si>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</si>
  <si>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</si>
  <si>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</si>
  <si>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</si>
  <si>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</si>
  <si>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</si>
  <si>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</si>
  <si>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</si>
  <si>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</si>
  <si>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</si>
  <si>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</si>
  <si>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</si>
  <si>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</si>
  <si>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</si>
  <si>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</si>
  <si>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</si>
  <si>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</si>
  <si>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</si>
  <si>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</si>
  <si>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</si>
  <si>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</si>
  <si>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</si>
  <si>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</si>
  <si>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</si>
  <si>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</si>
  <si>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</si>
  <si>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</si>
  <si>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</si>
  <si>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</si>
  <si>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</si>
  <si>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</si>
  <si>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</si>
  <si>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</si>
  <si>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</si>
  <si>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</si>
  <si>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</si>
  <si>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</si>
  <si>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</si>
  <si>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</si>
  <si>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</si>
  <si>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</si>
  <si>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</si>
  <si>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</si>
  <si>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</si>
  <si>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</si>
  <si>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</si>
  <si>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</si>
  <si>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</si>
  <si>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</si>
  <si>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</si>
  <si>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</si>
  <si>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</si>
  <si>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</si>
  <si>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</si>
  <si>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</si>
  <si>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</si>
  <si>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</si>
  <si>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</si>
  <si>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</si>
  <si>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</si>
  <si>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</si>
  <si>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</si>
  <si>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</si>
  <si>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</si>
  <si>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</si>
  <si>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</si>
  <si>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</si>
  <si>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</si>
  <si>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</si>
  <si>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</si>
  <si>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</si>
  <si>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</si>
  <si>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</si>
  <si>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</si>
  <si>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</si>
  <si>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</si>
  <si>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</si>
  <si>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</si>
  <si>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</si>
  <si>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</si>
  <si>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</si>
  <si>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</si>
  <si>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</si>
  <si>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</si>
  <si>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</si>
  <si>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</si>
  <si>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</si>
  <si>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</si>
  <si>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</si>
  <si>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</si>
  <si>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</si>
  <si>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</si>
  <si>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</si>
  <si>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</si>
  <si>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</si>
  <si>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</si>
  <si>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</si>
  <si>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</si>
  <si>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</si>
  <si>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</si>
  <si>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</si>
  <si>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</si>
  <si>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</si>
  <si>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</si>
  <si>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</si>
  <si>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</si>
  <si>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</si>
  <si>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</si>
  <si>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</si>
  <si>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</si>
  <si>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</si>
  <si>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</si>
  <si>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</si>
  <si>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</si>
  <si>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</si>
  <si>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</si>
  <si>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</si>
  <si>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</si>
  <si>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</si>
  <si>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</si>
  <si>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</si>
  <si>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</si>
  <si>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</si>
  <si>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</si>
  <si>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</si>
  <si>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</si>
  <si>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</si>
  <si>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</si>
  <si>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</si>
  <si>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</si>
  <si>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</si>
  <si>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</si>
  <si>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</si>
  <si>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</si>
  <si>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</si>
  <si>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</si>
  <si>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</si>
  <si>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</si>
  <si>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</si>
  <si>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</si>
  <si>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</si>
  <si>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</si>
  <si>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</si>
  <si>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</si>
  <si>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</si>
  <si>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</si>
  <si>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</si>
  <si>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</si>
  <si>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</si>
  <si>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</si>
  <si>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</si>
  <si>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</si>
  <si>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</si>
  <si>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</si>
  <si>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</si>
  <si>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</si>
  <si>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</si>
  <si>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</si>
  <si>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</si>
  <si>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</si>
  <si>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</si>
  <si>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</si>
  <si>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</si>
  <si>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</si>
  <si>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</si>
  <si>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</si>
  <si>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</si>
  <si>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</si>
  <si>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</si>
  <si>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</si>
  <si>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</si>
  <si>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</si>
  <si>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</si>
  <si>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</si>
  <si>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</si>
  <si>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</si>
  <si>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</si>
  <si>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</si>
  <si>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</si>
  <si>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</si>
  <si>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</si>
  <si>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</si>
  <si>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</si>
  <si>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</si>
  <si>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</si>
  <si>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</si>
  <si>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</si>
  <si>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</si>
  <si>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</si>
  <si>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</si>
  <si>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</si>
  <si>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</si>
  <si>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</si>
  <si>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</si>
  <si>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</si>
  <si>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</si>
  <si>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</si>
  <si>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</si>
  <si>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</si>
  <si>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</si>
  <si>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</si>
  <si>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</si>
  <si>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</si>
  <si>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</si>
  <si>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</si>
  <si>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</si>
  <si>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</si>
  <si>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</si>
  <si>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</si>
  <si>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</si>
  <si>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</si>
  <si>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</si>
  <si>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</si>
  <si>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</si>
  <si>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</si>
  <si>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</si>
  <si>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</si>
  <si>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</si>
  <si>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</si>
  <si>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</si>
  <si>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</si>
  <si>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</si>
  <si>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</si>
  <si>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</si>
  <si>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</si>
  <si>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</si>
  <si>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</si>
  <si>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</si>
  <si>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</si>
  <si>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</si>
  <si>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</si>
  <si>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</si>
  <si>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</si>
  <si>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</si>
  <si>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</si>
  <si>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</si>
  <si>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</si>
  <si>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</si>
  <si>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</si>
  <si>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</si>
  <si>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</si>
  <si>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</si>
  <si>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</si>
  <si>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</si>
  <si>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</si>
  <si>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</si>
  <si>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</si>
  <si>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</si>
  <si>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</si>
  <si>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</si>
  <si>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</si>
  <si>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</si>
  <si>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</si>
  <si>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</si>
  <si>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</si>
  <si>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</si>
  <si>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</si>
  <si>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</si>
  <si>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</si>
  <si>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</si>
  <si>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</si>
  <si>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</si>
  <si>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</si>
  <si>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</si>
  <si>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</si>
  <si>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</si>
  <si>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</si>
  <si>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</si>
  <si>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</si>
  <si>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</si>
  <si>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</si>
  <si>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</si>
  <si>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</si>
  <si>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</si>
  <si>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</si>
  <si>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</si>
  <si>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</si>
  <si>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</si>
  <si>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</si>
  <si>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</si>
  <si>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</si>
  <si>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</si>
  <si>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</si>
  <si>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</si>
  <si>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</si>
  <si>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</si>
  <si>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</si>
  <si>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</si>
  <si>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</si>
  <si>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</si>
  <si>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</si>
  <si>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</si>
  <si>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</si>
  <si>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</si>
  <si>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</si>
  <si>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</si>
  <si>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</si>
  <si>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</si>
  <si>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</si>
  <si>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</si>
  <si>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</si>
  <si>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</si>
  <si>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</si>
  <si>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</si>
  <si>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</si>
  <si>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</si>
  <si>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</si>
  <si>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</si>
  <si>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</si>
  <si>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</si>
  <si>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</si>
  <si>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</si>
  <si>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</si>
  <si>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</si>
  <si>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</si>
  <si>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</si>
  <si>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</si>
  <si>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</si>
  <si>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</si>
  <si>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</si>
  <si>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</si>
  <si>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</si>
  <si>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</si>
  <si>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</si>
  <si>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</si>
  <si>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</si>
  <si>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</si>
  <si>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</si>
  <si>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</si>
  <si>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</si>
  <si>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</si>
  <si>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</si>
  <si>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</si>
  <si>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</si>
  <si>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</si>
  <si>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</si>
  <si>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</si>
  <si>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</si>
  <si>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</si>
  <si>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</si>
  <si>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</si>
  <si>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</si>
  <si>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</si>
  <si>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</si>
  <si>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</si>
  <si>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</si>
  <si>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</si>
  <si>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</si>
  <si>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</si>
  <si>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</si>
  <si>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</si>
  <si>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</si>
  <si>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</si>
  <si>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</si>
  <si>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</si>
  <si>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</si>
  <si>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</si>
  <si>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</si>
  <si>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</si>
  <si>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</si>
  <si>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</si>
  <si>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</si>
  <si>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</si>
  <si>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</si>
  <si>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</si>
  <si>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</si>
  <si>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</si>
  <si>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</si>
  <si>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</si>
  <si>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</si>
  <si>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</si>
  <si>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</si>
  <si>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</si>
  <si>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</si>
  <si>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</si>
  <si>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</si>
  <si>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</si>
  <si>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</si>
  <si>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</si>
  <si>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</si>
  <si>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</si>
  <si>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</si>
  <si>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</si>
  <si>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</si>
  <si>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</si>
  <si>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</si>
  <si>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</si>
  <si>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</si>
  <si>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</si>
  <si>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</si>
  <si>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</si>
  <si>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</si>
  <si>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</si>
  <si>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</si>
  <si>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</si>
  <si>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</si>
  <si>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</si>
  <si>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</si>
  <si>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</si>
  <si>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</si>
  <si>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</si>
  <si>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</si>
  <si>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</si>
  <si>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</si>
  <si>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</si>
  <si>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</si>
  <si>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</si>
  <si>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</si>
  <si>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</si>
  <si>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</si>
  <si>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</si>
  <si>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</si>
  <si>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</si>
  <si>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</si>
  <si>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</si>
  <si>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</si>
  <si>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</si>
  <si>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</si>
  <si>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</si>
  <si>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</si>
  <si>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</si>
  <si>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</si>
  <si>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</si>
  <si>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</si>
  <si>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</si>
  <si>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</si>
  <si>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</si>
  <si>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</si>
  <si>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</si>
  <si>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</si>
  <si>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</si>
  <si>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</si>
  <si>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</si>
  <si>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</si>
  <si>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</si>
  <si>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</si>
  <si>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</si>
  <si>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</si>
  <si>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</si>
  <si>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</si>
  <si>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</si>
  <si>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</si>
  <si>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</si>
  <si>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</si>
  <si>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</si>
  <si>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</si>
  <si>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</si>
  <si>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</si>
  <si>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</si>
  <si>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</si>
  <si>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</si>
  <si>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</si>
  <si>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</si>
  <si>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</si>
  <si>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</si>
  <si>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</si>
  <si>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</si>
  <si>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</si>
  <si>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</si>
  <si>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</si>
  <si>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</si>
  <si>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</si>
  <si>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</si>
  <si>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</si>
  <si>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</si>
  <si>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</si>
  <si>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</si>
  <si>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</si>
  <si>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</si>
  <si>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</si>
  <si>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</si>
  <si>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</si>
  <si>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</si>
  <si>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</si>
  <si>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</si>
  <si>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</si>
  <si>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</si>
  <si>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</si>
  <si>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</si>
  <si>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</si>
  <si>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</si>
  <si>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</si>
  <si>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</si>
  <si>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</si>
  <si>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</si>
  <si>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</si>
  <si>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</si>
  <si>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</si>
  <si>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</si>
  <si>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</si>
  <si>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</si>
  <si>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</si>
  <si>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</si>
  <si>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</si>
  <si>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</si>
  <si>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</si>
  <si>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</si>
  <si>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</si>
  <si>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</si>
  <si>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</si>
  <si>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</si>
  <si>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</si>
  <si>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</si>
  <si>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</si>
  <si>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</si>
  <si>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</si>
  <si>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</si>
  <si>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</si>
  <si>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</si>
  <si>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</si>
  <si>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</si>
  <si>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</si>
  <si>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</si>
  <si>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</si>
  <si>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</si>
  <si>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</si>
  <si>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</si>
  <si>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</si>
  <si>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</si>
  <si>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</si>
  <si>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</si>
  <si>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</si>
  <si>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</si>
  <si>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</si>
  <si>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</si>
  <si>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</si>
  <si>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</si>
  <si>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</si>
  <si>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</si>
  <si>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</si>
  <si>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</si>
  <si>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</si>
  <si>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</si>
  <si>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</si>
  <si>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</si>
  <si>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</si>
  <si>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</si>
  <si>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</si>
  <si>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</si>
  <si>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</si>
  <si>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</si>
  <si>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</si>
  <si>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</si>
  <si>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</si>
  <si>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</si>
  <si>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</si>
  <si>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</si>
  <si>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</si>
  <si>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</si>
  <si>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</si>
  <si>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</si>
  <si>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</si>
  <si>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</si>
  <si>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</si>
  <si>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</si>
  <si>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</si>
  <si>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</si>
  <si>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</si>
  <si>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</si>
  <si>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</si>
  <si>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</si>
  <si>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</si>
  <si>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</si>
  <si>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</si>
  <si>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</si>
  <si>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</si>
  <si>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</si>
  <si>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</si>
  <si>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</si>
  <si>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</si>
  <si>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</si>
  <si>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</si>
  <si>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</si>
  <si>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</si>
  <si>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</si>
  <si>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</si>
  <si>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</si>
  <si>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</si>
  <si>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</si>
  <si>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</si>
  <si>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</si>
  <si>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</si>
  <si>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</si>
  <si>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</si>
  <si>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</si>
  <si>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</si>
  <si>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</si>
  <si>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</si>
  <si>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</si>
  <si>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</si>
  <si>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</si>
  <si>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</si>
  <si>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</si>
  <si>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</si>
  <si>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</si>
  <si>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</si>
  <si>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</si>
  <si>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</si>
  <si>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</si>
  <si>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</si>
  <si>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</si>
  <si>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</si>
  <si>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</si>
  <si>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</si>
  <si>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</si>
  <si>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</si>
  <si>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</si>
  <si>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</si>
  <si>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</si>
  <si>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</si>
  <si>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</si>
  <si>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SANTIAGO DE COMPOSTELA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</si>
</sst>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wMFoOHX2BfaSYwNbCX3IJ6WF5z7IOOj8anGKwYjydHi5JI6U80YY+yrgE7ni2Hiq4KnxtqwXh6uHE9/dJogCQ==" saltValue="hkAYAhJVj6pa6O/6Q2G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9.870129870129869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111</v>
      </c>
      <c r="F10" s="226">
        <f>IF(ISNUMBER(Datos!K10),Datos!K10," - ")</f>
        <v>137</v>
      </c>
      <c r="G10" s="1034" t="str">
        <f>IF(Datos!E10&lt;&gt;"",Datos!E10,Datos!D10)</f>
        <v>37</v>
      </c>
      <c r="H10" s="227">
        <f>IF(ISNUMBER(Datos!L10),Datos!L10," - ")</f>
        <v>90</v>
      </c>
      <c r="I10" s="1044" t="str">
        <f>IF(ISNUMBER(Datos!AS10/Datos!BM10),Datos!AS10/Datos!BM10," - ")</f>
        <v xml:space="preserve"> - </v>
      </c>
      <c r="J10" s="1045">
        <f>IF(ISNUMBER(Datos!BY10/Datos!CN10),Datos!BY10/Datos!CN10," - ")</f>
        <v>0</v>
      </c>
      <c r="K10" s="230">
        <f t="shared" ref="K10:K12" si="1">IF(ISNUMBER((E10-F10)/C10),(E10-F10)/C10," - ")</f>
        <v>-0.22413793103448276</v>
      </c>
      <c r="L10" s="1025">
        <f>IF(ISNUMBER(NºAsuntos!I10/NºAsuntos!G10),(NºAsuntos!I10/NºAsuntos!G10)*11," - ")</f>
        <v>7.2262773722627731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4.6296816479400746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111</v>
      </c>
      <c r="F13" s="1051">
        <f>SUBTOTAL(9,F9:F12)</f>
        <v>137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2191</v>
      </c>
      <c r="D15" s="225">
        <f>IF(ISNUMBER(IF(D_I="SI",Datos!I15,Datos!I15+Datos!AC15)),IF(D_I="SI",Datos!I15,Datos!I15+Datos!AC15)," - ")</f>
        <v>2418</v>
      </c>
      <c r="E15" s="226">
        <f>IF(ISNUMBER(IF(D_I="SI",Datos!J15,Datos!J15+Datos!AD15)),IF(D_I="SI",Datos!J15,Datos!J15+Datos!AD15)," - ")</f>
        <v>7996</v>
      </c>
      <c r="F15" s="226">
        <f>IF(ISNUMBER(IF(D_I="SI",Datos!K15,Datos!K15+Datos!AE15)),IF(D_I="SI",Datos!K15,Datos!K15+Datos!AE15)," - ")</f>
        <v>7041</v>
      </c>
      <c r="G15" s="1034" t="str">
        <f>IF(Datos!E15&lt;&gt;"",Datos!E15,Datos!D15)</f>
        <v>03</v>
      </c>
      <c r="H15" s="227">
        <f>IF(ISNUMBER(IF(D_I="SI",Datos!L15,Datos!L15+Datos!AF15)),IF(D_I="SI",Datos!L15,Datos!L15+Datos!AF15)," - ")</f>
        <v>3146</v>
      </c>
      <c r="I15" s="1044" t="str">
        <f>IF(ISNUMBER(Datos!AS15/Datos!BM15),Datos!AS15/Datos!BM15," - ")</f>
        <v xml:space="preserve"> - </v>
      </c>
      <c r="J15" s="1045">
        <f>IF(ISNUMBER(Datos!BY15/Datos!CN15),Datos!BY15/Datos!CN15," - ")</f>
        <v>0</v>
      </c>
      <c r="K15" s="230">
        <f t="shared" ref="K15:K17" si="3">IF(ISNUMBER((E15-F15)/C15),(E15-F15)/C15," - ")</f>
        <v>0.43587403012323139</v>
      </c>
      <c r="L15" s="1025">
        <f>IF(ISNUMBER(NºAsuntos!I15/NºAsuntos!G15),(NºAsuntos!I15/NºAsuntos!G15)*11," - ")</f>
        <v>4.9149268569805429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213</v>
      </c>
      <c r="D17" s="225">
        <f>IF(ISNUMBER(IF(D_I="SI",Datos!I17,Datos!I17+Datos!AC17)),IF(D_I="SI",Datos!I17,Datos!I17+Datos!AC17)," - ")</f>
        <v>213</v>
      </c>
      <c r="E17" s="226">
        <f>IF(ISNUMBER(IF(D_I="SI",Datos!J17,Datos!J17+Datos!AD17)),IF(D_I="SI",Datos!J17,Datos!J17+Datos!AD17)," - ")</f>
        <v>499</v>
      </c>
      <c r="F17" s="226">
        <f>IF(ISNUMBER(IF(D_I="SI",Datos!K17,Datos!K17+Datos!AE17)),IF(D_I="SI",Datos!K17,Datos!K17+Datos!AE17)," - ")</f>
        <v>381</v>
      </c>
      <c r="G17" s="1034" t="str">
        <f>IF(Datos!E17&lt;&gt;"",Datos!E17,Datos!D17)</f>
        <v>37</v>
      </c>
      <c r="H17" s="227">
        <f>IF(ISNUMBER(IF(D_I="SI",Datos!L17,Datos!L17+Datos!AF17)),IF(D_I="SI",Datos!L17,Datos!L17+Datos!AF17)," - ")</f>
        <v>331</v>
      </c>
      <c r="I17" s="1044" t="str">
        <f>IF(ISNUMBER(Datos!AS17/Datos!BM17),Datos!AS17/Datos!BM17," - ")</f>
        <v xml:space="preserve"> - </v>
      </c>
      <c r="J17" s="1045" t="str">
        <f>IF(ISNUMBER((Datos!BY17+Datos!BZ17)/Datos!CN17),(Datos!BY17+Datos!BZ17)/Datos!CN17," - ")</f>
        <v xml:space="preserve"> - </v>
      </c>
      <c r="K17" s="230">
        <f t="shared" si="3"/>
        <v>0.5539906103286385</v>
      </c>
      <c r="L17" s="1025">
        <f>IF(ISNUMBER(NºAsuntos!I17/NºAsuntos!G17),(NºAsuntos!I17/NºAsuntos!G17)*11," - ")</f>
        <v>9.5564304461942253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2404</v>
      </c>
      <c r="D18" s="1049">
        <f>SUBTOTAL(9,D15:D17)</f>
        <v>2631</v>
      </c>
      <c r="E18" s="1050">
        <f>SUBTOTAL(9,E15:E17)</f>
        <v>8495</v>
      </c>
      <c r="F18" s="1050">
        <f>SUBTOTAL(9,F15:F17)</f>
        <v>7422</v>
      </c>
      <c r="G18" s="1052" t="str">
        <f ca="1">INDIRECT(CONCATENATE("G",ROW()-1))</f>
        <v>37</v>
      </c>
      <c r="H18" s="1053">
        <f ca="1">SUMIF(G$14:G17,G18,H$14:H17)</f>
        <v>331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2520</v>
      </c>
      <c r="D19" s="1071">
        <f>SUBTOTAL(9,D9:D18)</f>
        <v>2747</v>
      </c>
      <c r="E19" s="1072">
        <f>SUBTOTAL(9,E9:E18)</f>
        <v>8606</v>
      </c>
      <c r="F19" s="1072">
        <f>SUBTOTAL(9,F9:F18)</f>
        <v>7559</v>
      </c>
      <c r="G19" s="1073"/>
      <c r="H19" s="1074">
        <f ca="1">SUMIF(B9:B18,"TOTAL",H9:H18)</f>
        <v>331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jko8XjylBcKNfg24qy37ecK0NQlHHtZA00wLYMZ9O4r+ml6uT7oBjc+kv7awWlS4vTCCd3twNX+ivqE1xBWVuQ==" saltValue="BInrh9KNTVqEH5IhTpE/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hqTxwRtaZk+2nuGYT7VOtzNFiW8bI9MSiaZ6noR/jeAX7DIGXxT/o6ZmOclqKL9zNLjUbk5Wd1m6sFj2MJbtCg==" saltValue="U6hnHPT5qL7qhjgAdFL7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5272</v>
      </c>
      <c r="J9" s="181">
        <v>8716</v>
      </c>
      <c r="K9" s="181">
        <v>7256</v>
      </c>
      <c r="L9" s="181">
        <v>6730</v>
      </c>
      <c r="M9" s="181">
        <v>2172</v>
      </c>
      <c r="N9" s="181">
        <v>2831</v>
      </c>
      <c r="O9" s="181">
        <v>3273</v>
      </c>
      <c r="P9" s="181">
        <v>1545</v>
      </c>
      <c r="Q9" s="181">
        <v>1256</v>
      </c>
      <c r="R9" s="181">
        <v>5971</v>
      </c>
      <c r="S9" s="181">
        <v>3767</v>
      </c>
      <c r="T9" s="181">
        <v>6967</v>
      </c>
      <c r="U9" s="181">
        <v>5376</v>
      </c>
      <c r="V9" s="181">
        <v>5272</v>
      </c>
      <c r="W9" s="181">
        <v>1527</v>
      </c>
      <c r="X9" s="188">
        <v>2134</v>
      </c>
      <c r="Y9" s="191">
        <v>121</v>
      </c>
      <c r="Z9" s="181">
        <v>361</v>
      </c>
      <c r="AA9" s="181">
        <v>367</v>
      </c>
      <c r="AB9" s="181">
        <v>110</v>
      </c>
      <c r="AC9" s="181">
        <v>0</v>
      </c>
      <c r="AD9" s="181">
        <v>0</v>
      </c>
      <c r="AE9" s="181">
        <v>0</v>
      </c>
      <c r="AF9" s="188">
        <v>0</v>
      </c>
      <c r="AG9" s="191">
        <v>117</v>
      </c>
      <c r="AH9" s="181">
        <v>341</v>
      </c>
      <c r="AI9" s="181">
        <v>337</v>
      </c>
      <c r="AJ9" s="192">
        <v>121</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3884</v>
      </c>
      <c r="AZ9" s="123">
        <f>IF(ISNUMBER(IF(J_V="SI",T9,T9+AH9)),IF(J_V="SI",T9,T9+AH9)," - ")</f>
        <v>7308</v>
      </c>
      <c r="BA9" s="124">
        <f>IF(ISNUMBER(IF(J_V="SI",U9,U9+AI9)),IF(J_V="SI",U9,U9+AI9)," - ")</f>
        <v>5713</v>
      </c>
      <c r="BB9" s="124">
        <f>IF(ISNUMBER(IF(J_V="SI",V9,V9+AJ9)),IF(J_V="SI",V9,V9+AJ9)," - ")</f>
        <v>5393</v>
      </c>
      <c r="BC9" s="125">
        <f>IF(ISNUMBER(X9),X9," - ")</f>
        <v>2134</v>
      </c>
      <c r="BD9" s="126">
        <f>IF(ISNUMBER(BA9/AZ9),BA9/AZ9," - ")</f>
        <v>0.78174603174603174</v>
      </c>
      <c r="BE9" s="127">
        <f>IF(ISNUMBER(BB9/BA9),BB9/BA9, " - ")</f>
        <v>0.94398739716436197</v>
      </c>
      <c r="BF9" s="127">
        <f>IF(ISNUMBER(BC9/BA9),BC9/BA9, " - ")</f>
        <v>0.37353404516016103</v>
      </c>
      <c r="BG9" s="196">
        <f>IF(ISNUMBER((AY9+AZ9)/BA9),(AY9+AZ9)/BA9," - ")</f>
        <v>1.9590407841764397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116</v>
      </c>
      <c r="J10" s="181">
        <v>111</v>
      </c>
      <c r="K10" s="181">
        <v>137</v>
      </c>
      <c r="L10" s="181">
        <v>90</v>
      </c>
      <c r="M10" s="181">
        <v>46</v>
      </c>
      <c r="N10" s="181">
        <v>40</v>
      </c>
      <c r="O10" s="181">
        <v>34</v>
      </c>
      <c r="P10" s="181">
        <v>20</v>
      </c>
      <c r="Q10" s="181">
        <v>26</v>
      </c>
      <c r="R10" s="181">
        <v>48</v>
      </c>
      <c r="S10" s="181">
        <v>75</v>
      </c>
      <c r="T10" s="181">
        <v>123</v>
      </c>
      <c r="U10" s="181">
        <v>82</v>
      </c>
      <c r="V10" s="181">
        <v>116</v>
      </c>
      <c r="W10" s="181">
        <v>35</v>
      </c>
      <c r="X10" s="188">
        <v>35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75</v>
      </c>
      <c r="AZ10" s="129">
        <f t="shared" si="0"/>
        <v>123</v>
      </c>
      <c r="BA10" s="129">
        <f t="shared" si="0"/>
        <v>82</v>
      </c>
      <c r="BB10" s="129">
        <f t="shared" si="0"/>
        <v>116</v>
      </c>
      <c r="BC10" s="125">
        <f t="shared" si="0"/>
        <v>35</v>
      </c>
      <c r="BD10" s="126">
        <f>IF(ISNUMBER(BA10/AZ10),BA10/AZ10," - ")</f>
        <v>0.66666666666666663</v>
      </c>
      <c r="BE10" s="127">
        <f>IF(ISNUMBER(BB10/BA10),BB10/BA10, " - ")</f>
        <v>1.4146341463414633</v>
      </c>
      <c r="BF10" s="127">
        <f>IF(ISNUMBER(BC10/BA10),BC10/BA10, " - ")</f>
        <v>0.42682926829268292</v>
      </c>
      <c r="BG10" s="196">
        <f>IF(ISNUMBER((AY10+AZ10)/BA10),(AY10+AZ10)/BA10," - ")</f>
        <v>2.4146341463414633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754</v>
      </c>
      <c r="J11" s="183">
        <v>1032</v>
      </c>
      <c r="K11" s="183">
        <v>999</v>
      </c>
      <c r="L11" s="183">
        <v>803</v>
      </c>
      <c r="M11" s="183">
        <v>358</v>
      </c>
      <c r="N11" s="183">
        <v>1488</v>
      </c>
      <c r="O11" s="181">
        <v>436</v>
      </c>
      <c r="P11" s="183">
        <v>123</v>
      </c>
      <c r="Q11" s="183">
        <v>140</v>
      </c>
      <c r="R11" s="183">
        <v>421</v>
      </c>
      <c r="S11" s="183">
        <v>660</v>
      </c>
      <c r="T11" s="183">
        <v>1044</v>
      </c>
      <c r="U11" s="183">
        <v>950</v>
      </c>
      <c r="V11" s="183">
        <v>754</v>
      </c>
      <c r="W11" s="183">
        <v>323</v>
      </c>
      <c r="X11" s="189">
        <v>1475</v>
      </c>
      <c r="Y11" s="191">
        <v>189</v>
      </c>
      <c r="Z11" s="181">
        <v>1030</v>
      </c>
      <c r="AA11" s="181">
        <v>1137</v>
      </c>
      <c r="AB11" s="181">
        <v>96</v>
      </c>
      <c r="AC11" s="183">
        <v>0</v>
      </c>
      <c r="AD11" s="183">
        <v>0</v>
      </c>
      <c r="AE11" s="183">
        <v>0</v>
      </c>
      <c r="AF11" s="189">
        <v>0</v>
      </c>
      <c r="AG11" s="202">
        <v>147</v>
      </c>
      <c r="AH11" s="183">
        <v>810</v>
      </c>
      <c r="AI11" s="183">
        <v>768</v>
      </c>
      <c r="AJ11" s="203">
        <v>189</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807</v>
      </c>
      <c r="AZ11" s="127">
        <f t="shared" si="1"/>
        <v>1854</v>
      </c>
      <c r="BA11" s="127">
        <f t="shared" si="1"/>
        <v>1718</v>
      </c>
      <c r="BB11" s="127">
        <f t="shared" si="1"/>
        <v>943</v>
      </c>
      <c r="BC11" s="125">
        <f>IF(ISNUMBER(X11),X11," - ")</f>
        <v>1475</v>
      </c>
      <c r="BD11" s="126">
        <f t="shared" ref="BD11:BD12" si="2">IF(ISNUMBER(BA11/AZ11),BA11/AZ11," - ")</f>
        <v>0.9266450916936354</v>
      </c>
      <c r="BE11" s="127">
        <f t="shared" ref="BE11:BE12" si="3">IF(ISNUMBER(BB11/BA11),BB11/BA11, " - ")</f>
        <v>0.54889406286379516</v>
      </c>
      <c r="BF11" s="127">
        <f t="shared" ref="BF11:BF12" si="4">IF(ISNUMBER(BC11/BA11),BC11/BA11, " - ")</f>
        <v>0.85855646100116412</v>
      </c>
      <c r="BG11" s="196">
        <f t="shared" ref="BG11:BG12" si="5">IF(ISNUMBER((AY11+AZ11)/BA11),(AY11+AZ11)/BA11," - ")</f>
        <v>1.5488940628637951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0</v>
      </c>
      <c r="M12" s="183">
        <v>0</v>
      </c>
      <c r="N12" s="183">
        <v>1</v>
      </c>
      <c r="O12" s="181">
        <v>1</v>
      </c>
      <c r="P12" s="183">
        <v>0</v>
      </c>
      <c r="Q12" s="183">
        <v>2</v>
      </c>
      <c r="R12" s="183">
        <v>56</v>
      </c>
      <c r="S12" s="183">
        <v>1</v>
      </c>
      <c r="T12" s="183">
        <v>0</v>
      </c>
      <c r="U12" s="183">
        <v>0</v>
      </c>
      <c r="V12" s="183">
        <v>1</v>
      </c>
      <c r="W12" s="183">
        <v>0</v>
      </c>
      <c r="X12" s="189">
        <v>3</v>
      </c>
      <c r="Y12" s="191">
        <v>0</v>
      </c>
      <c r="Z12" s="181">
        <v>0</v>
      </c>
      <c r="AA12" s="181">
        <v>0</v>
      </c>
      <c r="AB12" s="181">
        <v>0</v>
      </c>
      <c r="AC12" s="183">
        <v>0</v>
      </c>
      <c r="AD12" s="183">
        <v>0</v>
      </c>
      <c r="AE12" s="183">
        <v>0</v>
      </c>
      <c r="AF12" s="189">
        <v>0</v>
      </c>
      <c r="AG12" s="202">
        <v>0</v>
      </c>
      <c r="AH12" s="183">
        <v>3</v>
      </c>
      <c r="AI12" s="183">
        <v>3</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3</v>
      </c>
      <c r="BA12" s="127">
        <f t="shared" si="1"/>
        <v>3</v>
      </c>
      <c r="BB12" s="127">
        <f t="shared" si="1"/>
        <v>1</v>
      </c>
      <c r="BC12" s="125">
        <f>IF(ISNUMBER(X12),X12," - ")</f>
        <v>3</v>
      </c>
      <c r="BD12" s="126">
        <f t="shared" si="2"/>
        <v>1</v>
      </c>
      <c r="BE12" s="127">
        <f t="shared" si="3"/>
        <v>0.33333333333333331</v>
      </c>
      <c r="BF12" s="127">
        <f t="shared" si="4"/>
        <v>1</v>
      </c>
      <c r="BG12" s="196">
        <f t="shared" si="5"/>
        <v>1.3333333333333333</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6143</v>
      </c>
      <c r="J13" s="184">
        <f t="shared" si="6"/>
        <v>9859</v>
      </c>
      <c r="K13" s="184">
        <f t="shared" si="6"/>
        <v>8392</v>
      </c>
      <c r="L13" s="184">
        <f t="shared" si="6"/>
        <v>7623</v>
      </c>
      <c r="M13" s="184">
        <f t="shared" si="6"/>
        <v>2576</v>
      </c>
      <c r="N13" s="184">
        <f t="shared" si="6"/>
        <v>4360</v>
      </c>
      <c r="O13" s="184">
        <f t="shared" si="6"/>
        <v>3744</v>
      </c>
      <c r="P13" s="184">
        <f t="shared" si="6"/>
        <v>1688</v>
      </c>
      <c r="Q13" s="184">
        <f t="shared" si="6"/>
        <v>1424</v>
      </c>
      <c r="R13" s="184">
        <f t="shared" si="6"/>
        <v>6496</v>
      </c>
      <c r="S13" s="184">
        <f t="shared" si="6"/>
        <v>4503</v>
      </c>
      <c r="T13" s="184">
        <f t="shared" si="6"/>
        <v>8134</v>
      </c>
      <c r="U13" s="184">
        <f t="shared" si="6"/>
        <v>6408</v>
      </c>
      <c r="V13" s="184">
        <f t="shared" si="6"/>
        <v>6143</v>
      </c>
      <c r="W13" s="184">
        <f t="shared" si="6"/>
        <v>1885</v>
      </c>
      <c r="X13" s="184">
        <f t="shared" si="6"/>
        <v>3647</v>
      </c>
      <c r="Y13" s="184">
        <f t="shared" si="6"/>
        <v>310</v>
      </c>
      <c r="Z13" s="184">
        <f t="shared" si="6"/>
        <v>1391</v>
      </c>
      <c r="AA13" s="184">
        <f t="shared" si="6"/>
        <v>1504</v>
      </c>
      <c r="AB13" s="184">
        <f t="shared" si="6"/>
        <v>206</v>
      </c>
      <c r="AC13" s="184">
        <f t="shared" si="6"/>
        <v>0</v>
      </c>
      <c r="AD13" s="184">
        <f t="shared" si="6"/>
        <v>0</v>
      </c>
      <c r="AE13" s="184">
        <f t="shared" si="6"/>
        <v>0</v>
      </c>
      <c r="AF13" s="184">
        <f>SUBTOTAL(9,AF9:AF12)</f>
        <v>0</v>
      </c>
      <c r="AG13" s="184">
        <f t="shared" ref="AG13:AT13" si="7">SUBTOTAL(9,AG8:AG12)</f>
        <v>264</v>
      </c>
      <c r="AH13" s="184">
        <f t="shared" si="7"/>
        <v>1154</v>
      </c>
      <c r="AI13" s="184">
        <f t="shared" si="7"/>
        <v>1108</v>
      </c>
      <c r="AJ13" s="184">
        <f t="shared" si="7"/>
        <v>310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4767</v>
      </c>
      <c r="AZ13" s="184">
        <f>SUBTOTAL(9,AZ8:AZ12)</f>
        <v>9288</v>
      </c>
      <c r="BA13" s="184">
        <f>SUBTOTAL(9,BA8:BA12)</f>
        <v>7516</v>
      </c>
      <c r="BB13" s="184">
        <f>SUBTOTAL(9,BB8:BB12)</f>
        <v>6453</v>
      </c>
      <c r="BC13" s="184">
        <f>SUBTOTAL(9,BC8:BC12)</f>
        <v>3647</v>
      </c>
      <c r="BD13" s="205">
        <f>IF(ISNUMBER(BA13/AZ13),BA13/AZ13," - ")</f>
        <v>0.80921619293712321</v>
      </c>
      <c r="BE13" s="206">
        <f>IF(ISNUMBER(BB13/BA13),BB13/BA13, " - ")</f>
        <v>0.85856838744012776</v>
      </c>
      <c r="BF13" s="206">
        <f>IF(ISNUMBER(BC13/BA13),BC13/BA13, " - ")</f>
        <v>0.48523150612027677</v>
      </c>
      <c r="BG13" s="207">
        <f>IF(ISNUMBER((AY13+AZ13)/BA13),(AY13+AZ13)/BA13," - ")</f>
        <v>1.870010643959553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2418</v>
      </c>
      <c r="J15" s="183">
        <v>7996</v>
      </c>
      <c r="K15" s="183">
        <v>7041</v>
      </c>
      <c r="L15" s="183">
        <v>3146</v>
      </c>
      <c r="M15" s="183">
        <v>939</v>
      </c>
      <c r="N15" s="183">
        <v>4129</v>
      </c>
      <c r="O15" s="181">
        <v>231</v>
      </c>
      <c r="P15" s="183">
        <v>335</v>
      </c>
      <c r="Q15" s="183">
        <v>299</v>
      </c>
      <c r="R15" s="183">
        <v>322</v>
      </c>
      <c r="S15" s="183">
        <v>2032</v>
      </c>
      <c r="T15" s="183">
        <v>7473</v>
      </c>
      <c r="U15" s="183">
        <v>7099</v>
      </c>
      <c r="V15" s="183">
        <v>2418</v>
      </c>
      <c r="W15" s="183">
        <v>803</v>
      </c>
      <c r="X15" s="189">
        <v>3957</v>
      </c>
      <c r="Y15" s="202">
        <v>0</v>
      </c>
      <c r="Z15" s="183">
        <v>0</v>
      </c>
      <c r="AA15" s="183">
        <v>0</v>
      </c>
      <c r="AB15" s="183">
        <v>0</v>
      </c>
      <c r="AC15" s="183">
        <v>1</v>
      </c>
      <c r="AD15" s="183">
        <v>17</v>
      </c>
      <c r="AE15" s="183">
        <v>18</v>
      </c>
      <c r="AF15" s="189">
        <v>0</v>
      </c>
      <c r="AG15" s="202">
        <v>0</v>
      </c>
      <c r="AH15" s="183">
        <v>0</v>
      </c>
      <c r="AI15" s="183">
        <v>0</v>
      </c>
      <c r="AJ15" s="203">
        <v>0</v>
      </c>
      <c r="AK15" s="182">
        <v>1</v>
      </c>
      <c r="AL15" s="183">
        <v>29</v>
      </c>
      <c r="AM15" s="183">
        <v>29</v>
      </c>
      <c r="AN15" s="189">
        <v>1</v>
      </c>
      <c r="AO15" s="259">
        <v>3</v>
      </c>
      <c r="AP15" s="155">
        <v>3</v>
      </c>
      <c r="AQ15" s="155">
        <v>3</v>
      </c>
      <c r="AR15" s="155">
        <v>3</v>
      </c>
      <c r="AS15" s="340" t="s">
        <v>522</v>
      </c>
      <c r="AT15" s="203" t="s">
        <v>322</v>
      </c>
      <c r="AU15" s="202"/>
      <c r="AV15" s="203"/>
      <c r="AW15" s="202"/>
      <c r="AX15" s="203"/>
      <c r="AY15" s="128">
        <f t="shared" ref="AY15:BB16" si="9">IF(ISNUMBER(IF(D_I="SI",S15,S15+AK15)),IF(D_I="SI",S15,S15+AK15)," - ")</f>
        <v>2032</v>
      </c>
      <c r="AZ15" s="129">
        <f t="shared" si="9"/>
        <v>7473</v>
      </c>
      <c r="BA15" s="129">
        <f t="shared" si="9"/>
        <v>7099</v>
      </c>
      <c r="BB15" s="129">
        <f t="shared" si="9"/>
        <v>2418</v>
      </c>
      <c r="BC15" s="125">
        <f>IF(ISNUMBER(W15),W15," - ")</f>
        <v>803</v>
      </c>
      <c r="BD15" s="126">
        <f>IF(ISNUMBER(BA15/AZ15),BA15/AZ15," - ")</f>
        <v>0.94995316472634816</v>
      </c>
      <c r="BE15" s="127">
        <f>IF(ISNUMBER(BB15/BA15),BB15/BA15, " - ")</f>
        <v>0.34061135371179041</v>
      </c>
      <c r="BF15" s="127">
        <f>IF(ISNUMBER(BC15/BA15),BC15/BA15, " - ")</f>
        <v>0.11311452317227778</v>
      </c>
      <c r="BG15" s="196">
        <f t="shared" ref="BG15:BG16" si="10">IF(ISNUMBER((AY15+AZ15)/BA15),(AY15+AZ15)/BA15," - ")</f>
        <v>1.3389209747851809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213</v>
      </c>
      <c r="J17" s="183">
        <v>499</v>
      </c>
      <c r="K17" s="183">
        <v>381</v>
      </c>
      <c r="L17" s="183">
        <v>331</v>
      </c>
      <c r="M17" s="183">
        <v>73</v>
      </c>
      <c r="N17" s="183">
        <v>257</v>
      </c>
      <c r="O17" s="183">
        <v>3</v>
      </c>
      <c r="P17" s="183">
        <v>4</v>
      </c>
      <c r="Q17" s="183">
        <v>8</v>
      </c>
      <c r="R17" s="183">
        <v>2</v>
      </c>
      <c r="S17" s="183">
        <v>189</v>
      </c>
      <c r="T17" s="183">
        <v>577</v>
      </c>
      <c r="U17" s="183">
        <v>554</v>
      </c>
      <c r="V17" s="183">
        <v>213</v>
      </c>
      <c r="W17" s="183">
        <v>76</v>
      </c>
      <c r="X17" s="189">
        <v>179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189</v>
      </c>
      <c r="AZ17" s="129">
        <f t="shared" si="14"/>
        <v>577</v>
      </c>
      <c r="BA17" s="129">
        <f t="shared" si="14"/>
        <v>554</v>
      </c>
      <c r="BB17" s="129">
        <f t="shared" si="14"/>
        <v>213</v>
      </c>
      <c r="BC17" s="125">
        <f>IF(ISNUMBER(W17),W17," - ")</f>
        <v>76</v>
      </c>
      <c r="BD17" s="126">
        <f>IF(ISNUMBER(BA17/AZ17),BA17/AZ17," - ")</f>
        <v>0.96013864818024264</v>
      </c>
      <c r="BE17" s="127">
        <f>IF(ISNUMBER(BB17/BA17),BB17/BA17, " - ")</f>
        <v>0.3844765342960289</v>
      </c>
      <c r="BF17" s="127">
        <f>IF(ISNUMBER(BC17/BA17),BC17/BA17, " - ")</f>
        <v>0.13718411552346571</v>
      </c>
      <c r="BG17" s="196">
        <f>IF(ISNUMBER((AY17+AZ17)/BA17),(AY17+AZ17)/BA17," - ")</f>
        <v>1.3826714801444044</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2631</v>
      </c>
      <c r="J18" s="184">
        <f t="shared" si="15"/>
        <v>8495</v>
      </c>
      <c r="K18" s="184">
        <f t="shared" si="15"/>
        <v>7422</v>
      </c>
      <c r="L18" s="184">
        <f t="shared" si="15"/>
        <v>3477</v>
      </c>
      <c r="M18" s="184">
        <f t="shared" si="15"/>
        <v>1012</v>
      </c>
      <c r="N18" s="184">
        <f t="shared" si="15"/>
        <v>4386</v>
      </c>
      <c r="O18" s="184">
        <f t="shared" si="15"/>
        <v>234</v>
      </c>
      <c r="P18" s="184">
        <f t="shared" si="15"/>
        <v>339</v>
      </c>
      <c r="Q18" s="184">
        <f t="shared" si="15"/>
        <v>307</v>
      </c>
      <c r="R18" s="184">
        <f t="shared" si="15"/>
        <v>324</v>
      </c>
      <c r="S18" s="184">
        <f t="shared" si="15"/>
        <v>2221</v>
      </c>
      <c r="T18" s="184">
        <f t="shared" si="15"/>
        <v>8050</v>
      </c>
      <c r="U18" s="184">
        <f t="shared" si="15"/>
        <v>7653</v>
      </c>
      <c r="V18" s="184">
        <f t="shared" si="15"/>
        <v>2631</v>
      </c>
      <c r="W18" s="184">
        <f t="shared" si="15"/>
        <v>879</v>
      </c>
      <c r="X18" s="184">
        <f t="shared" si="15"/>
        <v>4136</v>
      </c>
      <c r="Y18" s="184">
        <f t="shared" si="15"/>
        <v>0</v>
      </c>
      <c r="Z18" s="184">
        <f t="shared" si="15"/>
        <v>0</v>
      </c>
      <c r="AA18" s="184">
        <f t="shared" si="15"/>
        <v>0</v>
      </c>
      <c r="AB18" s="184">
        <f t="shared" si="15"/>
        <v>0</v>
      </c>
      <c r="AC18" s="184">
        <f t="shared" si="15"/>
        <v>1</v>
      </c>
      <c r="AD18" s="184">
        <f t="shared" si="15"/>
        <v>17</v>
      </c>
      <c r="AE18" s="184">
        <f t="shared" si="15"/>
        <v>18</v>
      </c>
      <c r="AF18" s="184">
        <f t="shared" si="15"/>
        <v>0</v>
      </c>
      <c r="AG18" s="184">
        <f t="shared" si="15"/>
        <v>0</v>
      </c>
      <c r="AH18" s="184">
        <f t="shared" si="15"/>
        <v>0</v>
      </c>
      <c r="AI18" s="184">
        <f t="shared" si="15"/>
        <v>0</v>
      </c>
      <c r="AJ18" s="184">
        <f t="shared" si="15"/>
        <v>0</v>
      </c>
      <c r="AK18" s="184">
        <f t="shared" si="15"/>
        <v>1</v>
      </c>
      <c r="AL18" s="184">
        <f t="shared" si="15"/>
        <v>29</v>
      </c>
      <c r="AM18" s="184">
        <f t="shared" si="15"/>
        <v>29</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2221</v>
      </c>
      <c r="AZ18" s="184">
        <f>SUBTOTAL(9,AZ14:AZ17)</f>
        <v>8050</v>
      </c>
      <c r="BA18" s="184">
        <f>SUBTOTAL(9,BA14:BA17)</f>
        <v>7653</v>
      </c>
      <c r="BB18" s="184">
        <f>SUBTOTAL(9,BB14:BB17)</f>
        <v>2631</v>
      </c>
      <c r="BC18" s="184">
        <f>SUBTOTAL(9,BC14:BC17)</f>
        <v>879</v>
      </c>
      <c r="BD18" s="205">
        <f>IF(ISNUMBER(BA18/AZ18),BA18/AZ18," - ")</f>
        <v>0.9506832298136646</v>
      </c>
      <c r="BE18" s="206">
        <f>IF(ISNUMBER(BB18/BA18),BB18/BA18, " - ")</f>
        <v>0.34378675029400235</v>
      </c>
      <c r="BF18" s="206">
        <f>IF(ISNUMBER(BC18/BA18),BC18/BA18, " - ")</f>
        <v>0.11485691885535085</v>
      </c>
      <c r="BG18" s="207">
        <f>IF(ISNUMBER((AY18+AZ18)/BA18),(AY18+AZ18)/BA18," - ")</f>
        <v>1.3420880700378937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8774</v>
      </c>
      <c r="J19" s="134">
        <f t="shared" si="18"/>
        <v>18354</v>
      </c>
      <c r="K19" s="134">
        <f t="shared" si="18"/>
        <v>15814</v>
      </c>
      <c r="L19" s="134">
        <f t="shared" si="18"/>
        <v>11100</v>
      </c>
      <c r="M19" s="134">
        <f t="shared" si="18"/>
        <v>3588</v>
      </c>
      <c r="N19" s="134">
        <f t="shared" si="18"/>
        <v>8746</v>
      </c>
      <c r="O19" s="134">
        <f t="shared" si="18"/>
        <v>3978</v>
      </c>
      <c r="P19" s="134">
        <f t="shared" si="18"/>
        <v>2027</v>
      </c>
      <c r="Q19" s="134">
        <f t="shared" si="18"/>
        <v>1731</v>
      </c>
      <c r="R19" s="134">
        <f t="shared" si="18"/>
        <v>6820</v>
      </c>
      <c r="S19" s="134">
        <f t="shared" si="18"/>
        <v>6724</v>
      </c>
      <c r="T19" s="134">
        <f t="shared" si="18"/>
        <v>16184</v>
      </c>
      <c r="U19" s="134">
        <f t="shared" si="18"/>
        <v>14061</v>
      </c>
      <c r="V19" s="134">
        <f t="shared" si="18"/>
        <v>8774</v>
      </c>
      <c r="W19" s="134">
        <f t="shared" si="18"/>
        <v>2764</v>
      </c>
      <c r="X19" s="134">
        <f t="shared" si="18"/>
        <v>7783</v>
      </c>
      <c r="Y19" s="134">
        <f t="shared" si="18"/>
        <v>310</v>
      </c>
      <c r="Z19" s="134">
        <f t="shared" si="18"/>
        <v>1391</v>
      </c>
      <c r="AA19" s="134">
        <f t="shared" si="18"/>
        <v>1504</v>
      </c>
      <c r="AB19" s="134">
        <f t="shared" si="18"/>
        <v>206</v>
      </c>
      <c r="AC19" s="134">
        <f t="shared" si="18"/>
        <v>1</v>
      </c>
      <c r="AD19" s="134">
        <f t="shared" si="18"/>
        <v>17</v>
      </c>
      <c r="AE19" s="134">
        <f t="shared" si="18"/>
        <v>18</v>
      </c>
      <c r="AF19" s="134">
        <f t="shared" si="18"/>
        <v>0</v>
      </c>
      <c r="AG19" s="134">
        <f t="shared" si="18"/>
        <v>264</v>
      </c>
      <c r="AH19" s="134">
        <f t="shared" si="18"/>
        <v>1154</v>
      </c>
      <c r="AI19" s="134">
        <f t="shared" si="18"/>
        <v>1108</v>
      </c>
      <c r="AJ19" s="134">
        <f t="shared" si="18"/>
        <v>310</v>
      </c>
      <c r="AK19" s="134">
        <f t="shared" si="18"/>
        <v>1</v>
      </c>
      <c r="AL19" s="134">
        <f t="shared" si="18"/>
        <v>29</v>
      </c>
      <c r="AM19" s="134">
        <f t="shared" si="18"/>
        <v>29</v>
      </c>
      <c r="AN19" s="210">
        <f t="shared" si="18"/>
        <v>1</v>
      </c>
      <c r="AO19" s="211">
        <v>10</v>
      </c>
      <c r="AP19" s="211">
        <v>9</v>
      </c>
      <c r="AQ19" s="211">
        <v>9</v>
      </c>
      <c r="AR19" s="211">
        <v>9</v>
      </c>
      <c r="AS19" s="153">
        <f t="shared" si="18"/>
        <v>0</v>
      </c>
      <c r="AT19" s="153">
        <f t="shared" si="18"/>
        <v>0</v>
      </c>
      <c r="AU19" s="211"/>
      <c r="AV19" s="212"/>
      <c r="AW19" s="211"/>
      <c r="AX19" s="212"/>
      <c r="AY19" s="133">
        <f>SUBTOTAL(9,AY9:AY18)</f>
        <v>6988</v>
      </c>
      <c r="AZ19" s="134">
        <f>SUBTOTAL(9,AZ9:AZ18)</f>
        <v>17338</v>
      </c>
      <c r="BA19" s="134">
        <f>SUBTOTAL(9,BA9:BA18)</f>
        <v>15169</v>
      </c>
      <c r="BB19" s="134">
        <f>SUBTOTAL(9,BB9:BB18)</f>
        <v>9084</v>
      </c>
      <c r="BC19" s="135">
        <f>SUBTOTAL(9,BC9:BC18)</f>
        <v>4526</v>
      </c>
      <c r="BD19" s="213">
        <f>IF(ISNUMBER(BA19/AZ19),BA19/AZ19," - ")</f>
        <v>0.87489906563617492</v>
      </c>
      <c r="BE19" s="210">
        <f>IF(ISNUMBER(BB19/BA19),BB19/BA19, " - ")</f>
        <v>0.59885292372602017</v>
      </c>
      <c r="BF19" s="210">
        <f>IF(ISNUMBER(BC19/BA19),BC19/BA19, " - ")</f>
        <v>0.29837167908233897</v>
      </c>
      <c r="BG19" s="135">
        <f>IF(ISNUMBER((AY19+AZ19)/BA19),(AY19+AZ19)/BA19," - ")</f>
        <v>1.6036653701628321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4idAcWi4QYHAT39Mqq+a2IYVwxIrep28ROHz/2XOqII/chLAd89r6sPc8Exa9rYARnIMLxoIrMkTWfD4zr4g==" saltValue="LGj9pRDGho4mG2XzAqXV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N+HTyyTw/k66MBJlQ1noqbbwvRoP+ygtcy1wFghZIjESMKQNc6ElB5N0gAAvVFIVQN5bIDV7wvVwpCItcaA==" saltValue="USQNUJf4C+JnL4i76Du7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361</v>
      </c>
      <c r="O9" s="334"/>
      <c r="P9" s="334"/>
      <c r="Q9" s="226">
        <f>IF(ISNUMBER(Datos!P9),Datos!P9,0)</f>
        <v>1545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110</v>
      </c>
      <c r="AI9" s="334" t="str">
        <f>IF(ISNUMBER(Datos!CD9),Datos!CD9,"-")</f>
        <v>-</v>
      </c>
      <c r="AJ9" s="334" t="str">
        <f>IF(ISNUMBER(Datos!EN9),Datos!EN9," - ")</f>
        <v xml:space="preserve"> - </v>
      </c>
      <c r="AK9" s="334"/>
      <c r="AL9" s="479"/>
      <c r="AM9" s="335">
        <f>IF(ISNUMBER(Datos!R9),Datos!R9," - ")</f>
        <v>5971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2172</v>
      </c>
      <c r="BD9" s="229">
        <f>IF(ISNUMBER(Datos!N9),Datos!N9," - ")</f>
        <v>2831</v>
      </c>
      <c r="BE9" s="229" t="str">
        <f>IF(ISNUMBER(Datos!BW9),Datos!BW9," - ")</f>
        <v xml:space="preserve"> - </v>
      </c>
      <c r="BF9" s="228" t="str">
        <f>IF(ISNUMBER(Datos!BX9),Datos!BX9," - ")</f>
        <v xml:space="preserve"> - </v>
      </c>
      <c r="BG9" s="243">
        <f>IF(ISNUMBER(IF(J_V="SI",Datos!K9/Datos!J9,(Datos!K9+Datos!AA9)/(Datos!J9+Datos!Z9))),IF(J_V="SI",Datos!K9/Datos!J9,(Datos!K9+Datos!AA9)/(Datos!J9+Datos!Z9))," - ")</f>
        <v>0.83981491682273879</v>
      </c>
      <c r="BH9" s="260">
        <f>IF(ISNUMBER(((IF(J_V="SI",Datos!L9/Datos!K9,(Datos!L9+Datos!AB9)/(Datos!K9+Datos!AA9)))*11)/factor_trimestre),((IF(J_V="SI",Datos!L9/Datos!K9,(Datos!L9+Datos!AB9)/(Datos!K9+Datos!AA9)))*11)/factor_trimestre," - ")</f>
        <v>9.870129870129869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5.0862372404083069E-2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137</v>
      </c>
      <c r="AC10" s="226">
        <f>IF(ISNUMBER(Datos!Q10),Datos!Q10," - ")</f>
        <v>26</v>
      </c>
      <c r="AD10" s="334"/>
      <c r="AE10" s="484"/>
      <c r="AF10" s="332">
        <f>IF(ISNUMBER(Datos!L10),Datos!L10,"-")</f>
        <v>90</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40</v>
      </c>
      <c r="BE10" s="229" t="str">
        <f>IF(ISNUMBER(Datos!BW10),Datos!BW10," - ")</f>
        <v xml:space="preserve"> - </v>
      </c>
      <c r="BF10" s="228" t="str">
        <f>IF(ISNUMBER(Datos!BX10),Datos!BX10," - ")</f>
        <v xml:space="preserve"> - </v>
      </c>
      <c r="BG10" s="243">
        <f>IF(ISNUMBER(Datos!K10/Datos!J10),Datos!K10/Datos!J10," - ")</f>
        <v>1.2342342342342343</v>
      </c>
      <c r="BH10" s="260">
        <f>IF(ISNUMBER(((Datos!L10/Datos!K10)*11)/factor_trimestre),((Datos!L10/Datos!K10)*11)/factor_trimestre," - ")</f>
        <v>7.2262773722627731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1030</v>
      </c>
      <c r="O11" s="334"/>
      <c r="P11" s="334"/>
      <c r="Q11" s="226">
        <f>IF(ISNUMBER(Datos!P11),Datos!P11,0)</f>
        <v>123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140</v>
      </c>
      <c r="AD11" s="334"/>
      <c r="AE11" s="484"/>
      <c r="AF11" s="332" t="str">
        <f>IF(ISNUMBER(IF(J_V="SI",Datos!L11,Datos!L11+Datos!AB11)-IF(Monitorios="SI",Datos!CD11,0)),
                          IF(J_V="SI",Datos!L11,Datos!L11+Datos!AB11)-IF(Monitorios="SI",Datos!CD11,0),
                          " - ")</f>
        <v xml:space="preserve"> - </v>
      </c>
      <c r="AG11" s="334"/>
      <c r="AH11" s="334">
        <f>IF(ISNUMBER(Datos!AB11),Datos!AB11,"-")</f>
        <v>96</v>
      </c>
      <c r="AI11" s="334"/>
      <c r="AJ11" s="334"/>
      <c r="AK11" s="334"/>
      <c r="AL11" s="479"/>
      <c r="AM11" s="335">
        <f>IF(ISNUMBER(Datos!R11),Datos!R11," - ")</f>
        <v>421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358</v>
      </c>
      <c r="BD11" s="229">
        <f>IF(ISNUMBER(Datos!N11),Datos!N11," - ")</f>
        <v>1488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1.0358874878758486</v>
      </c>
      <c r="BH11" s="260">
        <f>IF(ISNUMBER(((IF(J_V="SI",Datos!L11/Datos!K11,(Datos!L11+Datos!AB11)/(Datos!K11+Datos!AA11)))*11)/factor_trimestre),((IF(J_V="SI",Datos!L11/Datos!K11,(Datos!L11+Datos!AB11)/(Datos!K11+Datos!AA11)))*11)/factor_trimestre," - ")</f>
        <v>4.6296816479400746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-3.8812785388127852E-2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-3.4482758620689655E-2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1391</v>
      </c>
      <c r="O13" s="900">
        <f t="shared" si="0"/>
        <v>0</v>
      </c>
      <c r="P13" s="900">
        <f t="shared" si="0"/>
        <v>0</v>
      </c>
      <c r="Q13" s="899">
        <f t="shared" si="0"/>
        <v>1688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137</v>
      </c>
      <c r="AC13" s="899">
        <f t="shared" si="1"/>
        <v>1424</v>
      </c>
      <c r="AD13" s="899">
        <f t="shared" si="1"/>
        <v>0</v>
      </c>
      <c r="AE13" s="899">
        <f t="shared" si="1"/>
        <v>0</v>
      </c>
      <c r="AF13" s="899">
        <f t="shared" si="1"/>
        <v>90</v>
      </c>
      <c r="AG13" s="899">
        <f t="shared" si="1"/>
        <v>0</v>
      </c>
      <c r="AH13" s="899">
        <f t="shared" si="1"/>
        <v>206</v>
      </c>
      <c r="AI13" s="899">
        <f t="shared" si="1"/>
        <v>0</v>
      </c>
      <c r="AJ13" s="899">
        <f t="shared" si="1"/>
        <v>0</v>
      </c>
      <c r="AK13" s="899">
        <f t="shared" si="1"/>
        <v>0</v>
      </c>
      <c r="AL13" s="899">
        <f t="shared" si="1"/>
        <v>0</v>
      </c>
      <c r="AM13" s="899">
        <f t="shared" si="1"/>
        <v>6496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2576</v>
      </c>
      <c r="BD13" s="899">
        <f t="shared" si="1"/>
        <v>4360</v>
      </c>
      <c r="BE13" s="899">
        <f t="shared" si="1"/>
        <v>0</v>
      </c>
      <c r="BF13" s="899">
        <f t="shared" si="1"/>
        <v>0</v>
      </c>
      <c r="BG13" s="899">
        <f>IF(ISNUMBER(Datos!K13/Datos!J13),Datos!K13/Datos!J13," - ")</f>
        <v>0.85120194745917432</v>
      </c>
      <c r="BH13" s="903">
        <f>IF(ISNUMBER(((Datos!L13/Datos!K13)*11)/factor_trimestre),((Datos!L13/Datos!K13)*11)/factor_trimestre," - ")</f>
        <v>9.9920162059103905</v>
      </c>
      <c r="BI13" s="899">
        <f>IF(ISNUMBER('Resol  Asuntos'!D13/NºAsuntos!G13),'Resol  Asuntos'!D13/NºAsuntos!G13," - ")</f>
        <v>0.26030719482619241</v>
      </c>
      <c r="BJ13" s="899" t="str">
        <f>IF(ISNUMBER(Datos!CI13/Datos!CJ13),Datos!CI13/Datos!CJ13," - ")</f>
        <v xml:space="preserve"> - </v>
      </c>
      <c r="BK13" s="899">
        <f>SUBTOTAL(9,BK8:BK12)</f>
        <v>0</v>
      </c>
      <c r="BL13" s="899">
        <f>IF(ISNUMBER((I13-AB13+L13)/(F13)),(I13-AB13+L13)/(F13)," - ")</f>
        <v>-1.1810344827586208</v>
      </c>
      <c r="BM13" s="904">
        <f>SUBTOTAL(9,BM9:BM12)</f>
        <v>-0.13354428271584556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2191</v>
      </c>
      <c r="G15" s="598">
        <f>IF(ISNUMBER(IF(D_I="SI",Datos!I15,Datos!I15+Datos!AC15)),IF(D_I="SI",Datos!I15,Datos!I15+Datos!AC15)," - ")</f>
        <v>2418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7041</v>
      </c>
      <c r="AC15" s="226">
        <f>IF(ISNUMBER(Datos!Q15),Datos!Q15," - ")</f>
        <v>299</v>
      </c>
      <c r="AD15" s="334"/>
      <c r="AE15" s="484"/>
      <c r="AF15" s="596">
        <f>IF(ISNUMBER(IF(D_I="SI",Datos!L15,Datos!L15+Datos!AF15)),IF(D_I="SI",Datos!L15,Datos!L15+Datos!AF15)," - ")</f>
        <v>3146</v>
      </c>
      <c r="AG15" s="334"/>
      <c r="AH15" s="334"/>
      <c r="AI15" s="334"/>
      <c r="AJ15" s="334"/>
      <c r="AK15" s="334"/>
      <c r="AL15" s="479"/>
      <c r="AM15" s="335">
        <f>IF(ISNUMBER(Datos!R15),Datos!R15," - ")</f>
        <v>322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939</v>
      </c>
      <c r="BD15" s="229">
        <f>IF(ISNUMBER(Datos!N15),Datos!N15," - ")</f>
        <v>4129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0.88056528264132061</v>
      </c>
      <c r="BH15" s="260">
        <f>IF(ISNUMBER(((IF(D_I="SI",Datos!L15/Datos!K15,(Datos!L15+Datos!AF15)/(Datos!K15+Datos!AE15)))*11)/factor_trimestre),((IF(D_I="SI",Datos!L15/Datos!K15,(Datos!L15+Datos!AF15)/(Datos!K15+Datos!AE15)))*11)/factor_trimestre," - ")</f>
        <v>4.9149268569805429</v>
      </c>
      <c r="BI15" s="243">
        <f>IF(ISNUMBER('Resol  Asuntos'!D15/NºAsuntos!G15),'Resol  Asuntos'!D15/NºAsuntos!G15," - ")</f>
        <v>0.13336173838943333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381</v>
      </c>
      <c r="AC17" s="226">
        <f>IF(ISNUMBER(Datos!Q17),Datos!Q17," - ")</f>
        <v>8</v>
      </c>
      <c r="AD17" s="334"/>
      <c r="AE17" s="484"/>
      <c r="AF17" s="332">
        <f>IF(ISNUMBER(Datos!L17),Datos!L17,"-")</f>
        <v>331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73</v>
      </c>
      <c r="BD17" s="229">
        <f>IF(ISNUMBER(Datos!N17),Datos!N17," - ")</f>
        <v>257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0.76352705410821642</v>
      </c>
      <c r="BH17" s="260">
        <f>IF(ISNUMBER(((IF(D_I="SI",Datos!L17/Datos!K17,(Datos!L17+Datos!AF17)/(Datos!K17+Datos!AE17)))*11)/factor_trimestre),((IF(D_I="SI",Datos!L17/Datos!K17,(Datos!L17+Datos!AF17)/(Datos!K17+Datos!AE17)))*11)/factor_trimestre," - ")</f>
        <v>9.5564304461942253</v>
      </c>
      <c r="BI17" s="243">
        <f>IF(ISNUMBER('Resol  Asuntos'!D17/NºAsuntos!G17),'Resol  Asuntos'!D17/NºAsuntos!G17," - ")</f>
        <v>0.19160104986876642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2191</v>
      </c>
      <c r="G18" s="898">
        <f>SUBTOTAL(9,G15:G17)</f>
        <v>2631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7422</v>
      </c>
      <c r="AC18" s="899">
        <f t="shared" si="4"/>
        <v>307</v>
      </c>
      <c r="AD18" s="899">
        <f t="shared" si="4"/>
        <v>0</v>
      </c>
      <c r="AE18" s="899">
        <f t="shared" si="4"/>
        <v>0</v>
      </c>
      <c r="AF18" s="899">
        <f t="shared" si="4"/>
        <v>3477</v>
      </c>
      <c r="AG18" s="899">
        <f t="shared" si="4"/>
        <v>0</v>
      </c>
      <c r="AH18" s="899">
        <f t="shared" si="4"/>
        <v>0</v>
      </c>
      <c r="AI18" s="899">
        <f t="shared" si="4"/>
        <v>0</v>
      </c>
      <c r="AJ18" s="899">
        <f t="shared" si="4"/>
        <v>0</v>
      </c>
      <c r="AK18" s="899">
        <f t="shared" si="4"/>
        <v>0</v>
      </c>
      <c r="AL18" s="899">
        <f t="shared" si="4"/>
        <v>0</v>
      </c>
      <c r="AM18" s="899">
        <f t="shared" si="4"/>
        <v>324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1012</v>
      </c>
      <c r="BD18" s="899">
        <f t="shared" si="4"/>
        <v>4386</v>
      </c>
      <c r="BE18" s="899">
        <f t="shared" si="4"/>
        <v>0</v>
      </c>
      <c r="BF18" s="899">
        <f t="shared" si="4"/>
        <v>0</v>
      </c>
      <c r="BG18" s="899">
        <f>IF(ISNUMBER(Datos!K18/Datos!J18),Datos!K18/Datos!J18," - ")</f>
        <v>0.87369040612124782</v>
      </c>
      <c r="BH18" s="903">
        <f>IF(ISNUMBER(((Datos!L18/Datos!K18)*11)/factor_trimestre),((Datos!L18/Datos!K18)*11)/factor_trimestre," - ")</f>
        <v>5.1531932093775268</v>
      </c>
      <c r="BI18" s="899">
        <f>SUBTOTAL(9,BI15:BI17)</f>
        <v>0.32496278825819974</v>
      </c>
      <c r="BJ18" s="899">
        <f>SUBTOTAL(9,BJ15:BJ17)</f>
        <v>0</v>
      </c>
      <c r="BK18" s="899">
        <f>SUBTOTAL(9,BK15:BK17)</f>
        <v>0</v>
      </c>
      <c r="BL18" s="899">
        <f>IF(ISNUMBER((I18-AB18+L18)/(F18)),(I18-AB18+L18)/(F18)," - ")</f>
        <v>-3.3874942948425377</v>
      </c>
      <c r="BM18" s="905">
        <f>IF(ISNUMBER((Datos!P18-Datos!Q18)/(Datos!R18-Datos!P18+Datos!Q18)),(Datos!P18-Datos!Q18)/(Datos!R18-Datos!P18+Datos!Q18)," - ")</f>
        <v>0.1095890410958904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9</v>
      </c>
      <c r="F19" s="820">
        <f t="shared" si="6"/>
        <v>2307</v>
      </c>
      <c r="G19" s="820">
        <f t="shared" si="6"/>
        <v>2747</v>
      </c>
      <c r="H19" s="822">
        <f t="shared" si="6"/>
        <v>0</v>
      </c>
      <c r="I19" s="820">
        <f t="shared" si="6"/>
        <v>0</v>
      </c>
      <c r="J19" s="822">
        <f t="shared" si="6"/>
        <v>0</v>
      </c>
      <c r="K19" s="822">
        <f t="shared" si="6"/>
        <v>0</v>
      </c>
      <c r="L19" s="881">
        <f t="shared" si="6"/>
        <v>0</v>
      </c>
      <c r="M19" s="881">
        <f t="shared" si="6"/>
        <v>0</v>
      </c>
      <c r="N19" s="881">
        <f t="shared" si="6"/>
        <v>1391</v>
      </c>
      <c r="O19" s="881">
        <f t="shared" si="6"/>
        <v>0</v>
      </c>
      <c r="P19" s="881">
        <f t="shared" si="6"/>
        <v>0</v>
      </c>
      <c r="Q19" s="822">
        <f t="shared" si="6"/>
        <v>2027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7559</v>
      </c>
      <c r="AC19" s="821">
        <f t="shared" si="7"/>
        <v>1731</v>
      </c>
      <c r="AD19" s="821">
        <f t="shared" si="7"/>
        <v>0</v>
      </c>
      <c r="AE19" s="821">
        <f t="shared" si="7"/>
        <v>0</v>
      </c>
      <c r="AF19" s="828">
        <f t="shared" si="7"/>
        <v>3567</v>
      </c>
      <c r="AG19" s="828">
        <f t="shared" si="7"/>
        <v>0</v>
      </c>
      <c r="AH19" s="828">
        <f t="shared" si="7"/>
        <v>206</v>
      </c>
      <c r="AI19" s="828">
        <f t="shared" si="7"/>
        <v>0</v>
      </c>
      <c r="AJ19" s="821">
        <f t="shared" si="7"/>
        <v>0</v>
      </c>
      <c r="AK19" s="828">
        <f t="shared" si="7"/>
        <v>0</v>
      </c>
      <c r="AL19" s="828">
        <f t="shared" si="7"/>
        <v>0</v>
      </c>
      <c r="AM19" s="828">
        <f t="shared" si="7"/>
        <v>6820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3588</v>
      </c>
      <c r="BD19" s="820">
        <f t="shared" si="7"/>
        <v>8746</v>
      </c>
      <c r="BE19" s="820">
        <f t="shared" si="7"/>
        <v>0</v>
      </c>
      <c r="BF19" s="830">
        <f t="shared" si="7"/>
        <v>0</v>
      </c>
      <c r="BG19" s="915">
        <f>IF(ISNUMBER(Datos!K19/Datos!J19),Datos!K19/Datos!J19," - ")</f>
        <v>0.86161054810940396</v>
      </c>
      <c r="BH19" s="915">
        <f>IF(ISNUMBER(((Datos!L19/Datos!K19)*11)/factor_trimestre),((Datos!L19/Datos!K19)*11)/factor_trimestre," - ")</f>
        <v>7.7210067029214615</v>
      </c>
      <c r="BI19" s="813">
        <f>IF(ISNUMBER(Datos!J19/Datos!I19),Datos!J19/Datos!I19," - ")</f>
        <v>2.0918623204923636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-3.2765496315561333</v>
      </c>
      <c r="BM19" s="889">
        <f>IF(ISNUMBER((Datos!P19-Datos!Q19+R19)/(Datos!R19-Datos!P19+Datos!Q19-R19)),(Datos!P19-Datos!Q19+R19)/(Datos!R19-Datos!P19+Datos!Q19-R19)," - ")</f>
        <v>4.5370938074800735E-2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1198.0018085684735</v>
      </c>
      <c r="G21" s="552">
        <f>IF(ISNUMBER(STDEV(G8:G18)),STDEV(G8:G18),"-")</f>
        <v>1304.2582949707469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3844.9212995846874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996.99276398004588</v>
      </c>
      <c r="BD21" s="551"/>
      <c r="BE21" s="551">
        <f>IF(ISNUMBER(STDEV(BE8:BE18)),STDEV(BE8:BE18),"-")</f>
        <v>0</v>
      </c>
      <c r="BF21" s="556">
        <f>IF(ISNUMBER(STDEV(BF8:BF18)),STDEV(BF8:BF18),"-")</f>
        <v>0</v>
      </c>
      <c r="BG21" s="775">
        <f>IF(ISNUMBER(STDEV(BG8:BG18)),STDEV(BG8:BG18),"-")</f>
        <v>0.15879910350359824</v>
      </c>
      <c r="BH21" s="776">
        <f>IF(ISNUMBER(STDEV(BH8:BH18)),STDEV(BH8:BH18),"-")</f>
        <v>2.4620104895508796</v>
      </c>
      <c r="BI21" s="249">
        <f>IF(ISNUMBER(STDEV(BI8:BI18)),STDEV(BI8:BI18),"-")</f>
        <v>8.3118470673663916E-2</v>
      </c>
      <c r="BJ21" s="230" t="str">
        <f>IF(ISNUMBER(BL21/BM21),BL21/BM21," - ")</f>
        <v xml:space="preserve"> - </v>
      </c>
      <c r="BK21" s="575"/>
      <c r="BL21" s="559">
        <f>IF(ISNUMBER(STDEV(BL8:BL18)),STDEV(BL8:BL18),"-")</f>
        <v>1.5602026955401336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8aCndD7jO+L7RQjsAHU8CPzsYwddQNibu2sOlmp8v/3JMYR5+exvhzFWV2+6bSx5uG6xTlPnRw9g+dtzI6n6A==" saltValue="5VCXg248SNgLzNIY/+Gx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SANTIAGO DE COMPOSTELA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1545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1256</v>
      </c>
      <c r="AA9" s="332" t="str">
        <f>IF(ISNUMBER(IF(J_V="SI",Datos!L9,Datos!L9+Datos!AB9)-IF(Monitorios="SI",Datos!CD9,0)),
                          IF(J_V="SI",Datos!L9,Datos!L9+Datos!AB9)-IF(Monitorios="SI",Datos!CD9,0),
                          " - ")</f>
        <v xml:space="preserve"> - </v>
      </c>
      <c r="AB9" s="334"/>
      <c r="AC9" s="334"/>
      <c r="AD9" s="484"/>
      <c r="AE9" s="484">
        <f>IF(ISNUMBER(Datos!R9),Datos!R9," - ")</f>
        <v>5971</v>
      </c>
      <c r="AF9" s="229" t="str">
        <f>IF(ISNUMBER(Datos!BV9),Datos!BV9," - ")</f>
        <v xml:space="preserve"> - </v>
      </c>
      <c r="AG9" s="225" t="str">
        <f>IF(ISNUMBER(Datos!DV9),Datos!DV9," - ")</f>
        <v xml:space="preserve"> - </v>
      </c>
      <c r="AH9" s="298"/>
      <c r="AI9" s="227"/>
      <c r="AJ9" s="225">
        <f>IF(ISNUMBER(Datos!M9),Datos!M9," - ")</f>
        <v>2172</v>
      </c>
      <c r="AK9" s="229">
        <f>IF(ISNUMBER(Datos!N9),Datos!N9," - ")</f>
        <v>2831</v>
      </c>
      <c r="AL9" s="229" t="str">
        <f>IF(ISNUMBER(Datos!BW9),Datos!BW9," - ")</f>
        <v xml:space="preserve"> - </v>
      </c>
      <c r="AM9" s="228" t="str">
        <f>IF(ISNUMBER(Datos!BX9),Datos!BX9," - ")</f>
        <v xml:space="preserve"> - </v>
      </c>
      <c r="AN9" s="243"/>
      <c r="AO9" s="260">
        <f>IF(ISNUMBER(((NºAsuntos!I9/NºAsuntos!G9)*11)/factor_trimestre),((NºAsuntos!I9/NºAsuntos!G9)*11)/factor_trimestre," - ")</f>
        <v>9.870129870129869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5.0862372404083069E-2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137</v>
      </c>
      <c r="Z10" s="619">
        <f>IF(ISNUMBER(Datos!Q10),Datos!Q10," - ")</f>
        <v>26</v>
      </c>
      <c r="AA10" s="332">
        <f>IF(ISNUMBER(Datos!L10),Datos!L10,"-")</f>
        <v>90</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46</v>
      </c>
      <c r="AK10" s="229">
        <f>IF(ISNUMBER(Datos!N10),Datos!N10," - ")</f>
        <v>40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7.2262773722627731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140</v>
      </c>
      <c r="AA11" s="332" t="str">
        <f>IF(ISNUMBER(IF(J_V="SI",Datos!L11,Datos!L11+Datos!AB11)-IF(Monitorios="SI",Datos!CD11,0)),
                          IF(J_V="SI",Datos!L11,Datos!L11+Datos!AB11)-IF(Monitorios="SI",Datos!CD11,0),
                          " - ")</f>
        <v xml:space="preserve"> - </v>
      </c>
      <c r="AB11" s="334"/>
      <c r="AC11" s="334"/>
      <c r="AD11" s="484"/>
      <c r="AE11" s="484">
        <f>IF(ISNUMBER(Datos!R11),Datos!R11," - ")</f>
        <v>421</v>
      </c>
      <c r="AF11" s="229" t="str">
        <f>IF(ISNUMBER(Datos!BV11),Datos!BV11," - ")</f>
        <v xml:space="preserve"> - </v>
      </c>
      <c r="AG11" s="225" t="str">
        <f>IF(ISNUMBER(Datos!DV11),Datos!DV11," - ")</f>
        <v xml:space="preserve"> - </v>
      </c>
      <c r="AH11" s="298"/>
      <c r="AI11" s="227"/>
      <c r="AJ11" s="225">
        <f>IF(ISNUMBER(Datos!M11),Datos!M11," - ")</f>
        <v>358</v>
      </c>
      <c r="AK11" s="229">
        <f>IF(ISNUMBER(Datos!N11),Datos!N11," - ")</f>
        <v>1488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4.6296816479400746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-3.8812785388127852E-2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56</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-3.4482758620689655E-2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1688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137</v>
      </c>
      <c r="Z13" s="907">
        <f t="shared" si="2"/>
        <v>1424</v>
      </c>
      <c r="AA13" s="900">
        <f t="shared" si="2"/>
        <v>90</v>
      </c>
      <c r="AB13" s="900">
        <f t="shared" si="2"/>
        <v>0</v>
      </c>
      <c r="AC13" s="900">
        <f t="shared" si="2"/>
        <v>0</v>
      </c>
      <c r="AD13" s="900">
        <f t="shared" si="2"/>
        <v>0</v>
      </c>
      <c r="AE13" s="900">
        <f t="shared" si="2"/>
        <v>6496</v>
      </c>
      <c r="AF13" s="908">
        <f t="shared" si="2"/>
        <v>0</v>
      </c>
      <c r="AG13" s="908">
        <f t="shared" si="2"/>
        <v>0</v>
      </c>
      <c r="AH13" s="908">
        <f t="shared" si="2"/>
        <v>0</v>
      </c>
      <c r="AI13" s="908">
        <f t="shared" si="2"/>
        <v>0</v>
      </c>
      <c r="AJ13" s="908">
        <f t="shared" si="2"/>
        <v>2576</v>
      </c>
      <c r="AK13" s="908">
        <f t="shared" si="2"/>
        <v>4360</v>
      </c>
      <c r="AL13" s="908">
        <f t="shared" si="2"/>
        <v>0</v>
      </c>
      <c r="AM13" s="908">
        <f t="shared" si="2"/>
        <v>0</v>
      </c>
      <c r="AN13" s="908">
        <f t="shared" si="2"/>
        <v>0</v>
      </c>
      <c r="AO13" s="904">
        <f>IF(ISNUMBER(((NºAsuntos!I13/NºAsuntos!G13)*11)/factor_trimestre),((NºAsuntos!I13/NºAsuntos!G13)*11)/factor_trimestre," - ")</f>
        <v>8.7024050121261105</v>
      </c>
      <c r="AP13" s="910" t="str">
        <f>IF(ISNUMBER(Datos!CI13/Datos!CJ13),Datos!CI13/Datos!CJ13," - ")</f>
        <v xml:space="preserve"> - </v>
      </c>
      <c r="AQ13" s="928">
        <f t="shared" ref="AQ13:AV13" si="3">SUBTOTAL(9,AQ9:AQ12)</f>
        <v>0</v>
      </c>
      <c r="AR13" s="928">
        <f t="shared" si="3"/>
        <v>-0.13354428271584556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2191</v>
      </c>
      <c r="G15" s="225">
        <f>IF(ISNUMBER(IF(D_I="SI",Datos!I15,Datos!I15+Datos!AC15)),IF(D_I="SI",Datos!I15,Datos!I15+Datos!AC15)," - ")</f>
        <v>2418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7041</v>
      </c>
      <c r="Z15" s="619">
        <f>IF(ISNUMBER(Datos!Q15),Datos!Q15," - ")</f>
        <v>299</v>
      </c>
      <c r="AA15" s="332">
        <f>IF(ISNUMBER(IF(D_I="SI",Datos!L15,Datos!L15+Datos!AF15)),IF(D_I="SI",Datos!L15,Datos!L15+Datos!AF15)," - ")</f>
        <v>3146</v>
      </c>
      <c r="AB15" s="334"/>
      <c r="AC15" s="334"/>
      <c r="AD15" s="484"/>
      <c r="AE15" s="484">
        <f>IF(ISNUMBER(Datos!R15),Datos!R15," - ")</f>
        <v>322</v>
      </c>
      <c r="AF15" s="229" t="str">
        <f>IF(ISNUMBER(Datos!BV15),Datos!BV15," - ")</f>
        <v xml:space="preserve"> - </v>
      </c>
      <c r="AG15" s="225"/>
      <c r="AH15" s="298"/>
      <c r="AI15" s="227"/>
      <c r="AJ15" s="225">
        <f>IF(ISNUMBER(Datos!M15),Datos!M15," - ")</f>
        <v>939</v>
      </c>
      <c r="AK15" s="229">
        <f>IF(ISNUMBER(Datos!N15),Datos!N15," - ")</f>
        <v>4129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4.9149268569805429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381</v>
      </c>
      <c r="Z17" s="619">
        <f>IF(ISNUMBER(Datos!Q17),Datos!Q17," - ")</f>
        <v>8</v>
      </c>
      <c r="AA17" s="332">
        <f>IF(ISNUMBER(Datos!L17),Datos!L17,"-")</f>
        <v>331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73</v>
      </c>
      <c r="AK17" s="229">
        <f>IF(ISNUMBER(Datos!N17),Datos!N17," - ")</f>
        <v>257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9.5564304461942253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2191</v>
      </c>
      <c r="G18" s="898">
        <f>SUBTOTAL(9,G15:G17)</f>
        <v>2631</v>
      </c>
      <c r="H18" s="932">
        <f>SUBTOTAL(9,H15:H17)</f>
        <v>0</v>
      </c>
      <c r="I18" s="911">
        <f>SUBTOTAL(9,I15:I17)</f>
        <v>0</v>
      </c>
      <c r="J18" s="867">
        <f>SUBTOTAL(9,J14:J17)</f>
        <v>0</v>
      </c>
      <c r="K18" s="932">
        <f t="shared" ref="K18:S18" si="4">SUBTOTAL(9,K15:K17)</f>
        <v>0</v>
      </c>
      <c r="L18" s="932">
        <f t="shared" si="4"/>
        <v>0</v>
      </c>
      <c r="M18" s="932">
        <f t="shared" si="4"/>
        <v>0</v>
      </c>
      <c r="N18" s="932">
        <f t="shared" si="4"/>
        <v>339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7422</v>
      </c>
      <c r="Z18" s="932">
        <f t="shared" si="5"/>
        <v>307</v>
      </c>
      <c r="AA18" s="932">
        <f t="shared" si="5"/>
        <v>3477</v>
      </c>
      <c r="AB18" s="932">
        <f t="shared" si="5"/>
        <v>0</v>
      </c>
      <c r="AC18" s="932">
        <f t="shared" si="5"/>
        <v>0</v>
      </c>
      <c r="AD18" s="932">
        <f t="shared" si="5"/>
        <v>0</v>
      </c>
      <c r="AE18" s="932">
        <f t="shared" si="5"/>
        <v>324</v>
      </c>
      <c r="AF18" s="932">
        <f t="shared" si="5"/>
        <v>0</v>
      </c>
      <c r="AG18" s="932">
        <f t="shared" si="5"/>
        <v>0</v>
      </c>
      <c r="AH18" s="932">
        <f t="shared" si="5"/>
        <v>0</v>
      </c>
      <c r="AI18" s="932">
        <f t="shared" si="5"/>
        <v>0</v>
      </c>
      <c r="AJ18" s="932">
        <f t="shared" si="5"/>
        <v>1012</v>
      </c>
      <c r="AK18" s="932">
        <f t="shared" si="5"/>
        <v>4386</v>
      </c>
      <c r="AL18" s="932">
        <f t="shared" si="5"/>
        <v>0</v>
      </c>
      <c r="AM18" s="932">
        <f t="shared" si="5"/>
        <v>0</v>
      </c>
      <c r="AN18" s="932">
        <f t="shared" si="5"/>
        <v>0</v>
      </c>
      <c r="AO18" s="934">
        <f>IF(ISNUMBER(((NºAsuntos!I18/NºAsuntos!G18)*11)/factor_trimestre),((NºAsuntos!I18/NºAsuntos!G18)*11)/factor_trimestre," - ")</f>
        <v>5.1531932093775268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2307</v>
      </c>
      <c r="G19" s="820">
        <f t="shared" si="7"/>
        <v>2747</v>
      </c>
      <c r="H19" s="821">
        <f t="shared" si="7"/>
        <v>0</v>
      </c>
      <c r="I19" s="820">
        <f t="shared" si="7"/>
        <v>0</v>
      </c>
      <c r="J19" s="822">
        <f t="shared" si="7"/>
        <v>0</v>
      </c>
      <c r="K19" s="820">
        <f t="shared" si="7"/>
        <v>0</v>
      </c>
      <c r="L19" s="823">
        <f t="shared" si="7"/>
        <v>0</v>
      </c>
      <c r="M19" s="820">
        <f t="shared" si="7"/>
        <v>0</v>
      </c>
      <c r="N19" s="821">
        <f t="shared" si="7"/>
        <v>2027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7559</v>
      </c>
      <c r="Z19" s="827">
        <f t="shared" si="8"/>
        <v>1731</v>
      </c>
      <c r="AA19" s="828">
        <f t="shared" si="8"/>
        <v>3567</v>
      </c>
      <c r="AB19" s="828">
        <f t="shared" si="8"/>
        <v>0</v>
      </c>
      <c r="AC19" s="828">
        <f t="shared" si="8"/>
        <v>0</v>
      </c>
      <c r="AD19" s="829">
        <f t="shared" si="8"/>
        <v>0</v>
      </c>
      <c r="AE19" s="829">
        <f t="shared" si="8"/>
        <v>6820</v>
      </c>
      <c r="AF19" s="830">
        <f t="shared" si="8"/>
        <v>0</v>
      </c>
      <c r="AG19" s="831">
        <f t="shared" si="8"/>
        <v>0</v>
      </c>
      <c r="AH19" s="832">
        <f t="shared" si="8"/>
        <v>0</v>
      </c>
      <c r="AI19" s="830">
        <f t="shared" si="8"/>
        <v>0</v>
      </c>
      <c r="AJ19" s="820">
        <f t="shared" si="8"/>
        <v>3588</v>
      </c>
      <c r="AK19" s="820">
        <f t="shared" si="8"/>
        <v>8746</v>
      </c>
      <c r="AL19" s="820">
        <f t="shared" si="8"/>
        <v>0</v>
      </c>
      <c r="AM19" s="833">
        <f t="shared" si="8"/>
        <v>0</v>
      </c>
      <c r="AN19" s="823">
        <f>IF(ISNUMBER(Datos!K19/Datos!J19),Datos!K19/Datos!J19," - ")</f>
        <v>0.86161054810940396</v>
      </c>
      <c r="AO19" s="823">
        <f>IF(ISNUMBER(FIND("06",Criterios!A8,1)),(IF(ISNUMBER(((Datos!R19/Datos!Q19)*11)/factor_trimestre),((Datos!R19/Datos!Q19)*11)/factor_trimestre," - ")),(IF(ISNUMBER(((Datos!L19/Datos!K19)*11)/factor_trimestre),((Datos!L19/Datos!K19)*11)/factor_trimestre," - ")))</f>
        <v>7.7210067029214615</v>
      </c>
      <c r="AP19" s="834" t="str">
        <f>IF(ISNUMBER(Datos!CI19/Datos!CJ19),Datos!CI19/Datos!CJ19," - ")</f>
        <v xml:space="preserve"> - </v>
      </c>
      <c r="AQ19" s="834">
        <f>IF(OR(ISNUMBER(FIND("01",Criterios!A8,1)),ISNUMBER(FIND("02",Criterios!A8,1)),ISNUMBER(FIND("03",Criterios!A8,1)),ISNUMBER(FIND("04",Criterios!A8,1))),(J19-Y19+K19)/(F19-K19),(I19-Y19+K19)/(F19-K19))</f>
        <v>-3.2765496315561333</v>
      </c>
      <c r="AR19" s="834">
        <f>IF(ISNUMBER((Datos!P19-Datos!Q19+O19)/(Datos!R19-Datos!P19+Datos!Q19-O19)),(Datos!P19-Datos!Q19+O19)/(Datos!R19-Datos!P19+Datos!Q19-O19)," - ")</f>
        <v>4.5370938074800735E-2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1198.0018085684735</v>
      </c>
      <c r="G21" s="552">
        <f>IF(ISNUMBER(STDEV(G8:G18)),STDEV(G8:G18),"-")</f>
        <v>1304.2582949707469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996.99276398004588</v>
      </c>
      <c r="AK21" s="252"/>
      <c r="AL21" s="252">
        <f>IF(ISNUMBER(STDEV(AL8:AL18)),STDEV(AL8:AL18),"-")</f>
        <v>0</v>
      </c>
      <c r="AM21" s="254">
        <f>IF(ISNUMBER(STDEV(AM8:AM18)),STDEV(AM8:AM18),"-")</f>
        <v>0</v>
      </c>
      <c r="AN21" s="539">
        <f>IF(ISNUMBER(STDEV(AN8:AN18)),STDEV(AN8:AN18),"-")</f>
        <v>0</v>
      </c>
      <c r="AO21" s="540">
        <f>IF(ISNUMBER(STDEV(AO8:AO18)),STDEV(AO8:AO18),"-")</f>
        <v>2.2708510206280099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rp8sVrWoUxgx5W/Mdn0HdwphMIM6tzw43Zi6vI6Z+thICAttKduc2HD8/0rs9+wKLhGHMtbXlrO6spP4kMTaw==" saltValue="gWVhrTyiCtAHEzK8J4GF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YRO/ie50c70Er9yW/nRdm736TzH0TwKWbvxv2BUXLSrhBq0pd3+dyvHo1P8A+SDSieNbqwB29qHmXJNZePmnOQ==" saltValue="Vs1QB2LbusE9C5mAfscJ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2tVpxPqJ/ER8BDAfQN21/GfFO+w5Kh6jx76wVkJKkBbcVdZmhGFB3aFq54FDteidp8rTqZR/Z+7MTH6NW47w==" saltValue="yD2D5wU/Aq3AQviCeCSv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0.26030719482619241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0.18406498265324844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cPHiOl8XAd6YRnRhY92uHDZzZpi7gH2kpDdIdHV0iNUwLooGEVP93NlS4+yTZrRi+MDlf3BqzDIn23+9xl11g==" saltValue="C85hfQnc+2CeEYpiWZ+K8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Ik8JwHFDfCaIo69zAeiawMqr75SxWAKkhnsm3UTFO0NPuHDtsVCfMFIyIo7zqF+VM/XosCOi/oODEsDVUz9xCA==" saltValue="r2Q4Ery/x5uEMtbZghrk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SANTIAGO DE COMPOSTELA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5393</v>
      </c>
      <c r="D9" s="404">
        <f>IF(ISNUMBER(C9/Datos!BH9),C9/Datos!BH9," - ")</f>
        <v>1078.5999999999999</v>
      </c>
      <c r="E9" s="403">
        <f>IF(ISNUMBER(IF(J_V="SI",Datos!J9,Datos!J9+Datos!Z9)),IF(J_V="SI",Datos!J9,Datos!J9+Datos!Z9)," - ")</f>
        <v>9077</v>
      </c>
      <c r="F9" s="404">
        <f>IF(ISNUMBER(E9/B9),E9/B9," - ")</f>
        <v>1815.4</v>
      </c>
      <c r="G9" s="403">
        <f>IF(ISNUMBER(IF(J_V="SI",Datos!K9,Datos!K9+Datos!AA9)),IF(J_V="SI",Datos!K9,Datos!K9+Datos!AA9)," - ")</f>
        <v>7623</v>
      </c>
      <c r="H9" s="404">
        <f>IF(ISNUMBER(G9/B9),G9/B9," - ")</f>
        <v>1524.6</v>
      </c>
      <c r="I9" s="403">
        <f>IF(ISNUMBER(IF(J_V="SI",Datos!L9,Datos!L9+Datos!AB9)),IF(J_V="SI",Datos!L9,Datos!L9+Datos!AB9)," - ")</f>
        <v>6840</v>
      </c>
      <c r="J9" s="404">
        <f>IF(ISNUMBER(I9/B9),I9/B9," - ")</f>
        <v>1368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111</v>
      </c>
      <c r="F10" s="404">
        <f>IF(ISNUMBER(E10/B10),E10/B10," - ")</f>
        <v>111</v>
      </c>
      <c r="G10" s="403">
        <f>IF(ISNUMBER(Datos!K10),Datos!K10," - ")</f>
        <v>137</v>
      </c>
      <c r="H10" s="404">
        <f>IF(ISNUMBER(G10/B10),G10/B10," - ")</f>
        <v>137</v>
      </c>
      <c r="I10" s="403">
        <f>IF(ISNUMBER(Datos!L10),Datos!L10," - ")</f>
        <v>90</v>
      </c>
      <c r="J10" s="404">
        <f>IF(ISNUMBER(I10/B10),I10/B10," - ")</f>
        <v>90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943</v>
      </c>
      <c r="D11" s="404">
        <f>IF(ISNUMBER(C11/Datos!BH11),C11/Datos!BH11," - ")</f>
        <v>943</v>
      </c>
      <c r="E11" s="403">
        <f>IF(ISNUMBER(IF(J_V="SI",Datos!J11,Datos!J11+Datos!Z11)),IF(J_V="SI",Datos!J11,Datos!J11+Datos!Z11)," - ")</f>
        <v>2062</v>
      </c>
      <c r="F11" s="404">
        <f>IF(ISNUMBER(E11/B11),E11/B11," - ")</f>
        <v>2062</v>
      </c>
      <c r="G11" s="403">
        <f>IF(ISNUMBER(IF(J_V="SI",Datos!K11,Datos!K11+Datos!AA11)),IF(J_V="SI",Datos!K11,Datos!K11+Datos!AA11)," - ")</f>
        <v>2136</v>
      </c>
      <c r="H11" s="404">
        <f>IF(ISNUMBER(G11/B11),G11/B11," - ")</f>
        <v>2136</v>
      </c>
      <c r="I11" s="403">
        <f>IF(ISNUMBER(IF(J_V="SI",Datos!L11,Datos!L11+Datos!AB11)),IF(J_V="SI",Datos!L11,Datos!L11+Datos!AB11)," - ")</f>
        <v>899</v>
      </c>
      <c r="J11" s="404">
        <f>IF(ISNUMBER(I11/B11),I11/B11," - ")</f>
        <v>899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6453</v>
      </c>
      <c r="D13" s="850" t="str">
        <f>IF(ISNUMBER(C13/Datos!BI13),C13/Datos!BI13," - ")</f>
        <v xml:space="preserve"> - </v>
      </c>
      <c r="E13" s="849">
        <f>SUBTOTAL(9,E8:E12)</f>
        <v>11250</v>
      </c>
      <c r="F13" s="850">
        <f>IF(ISNUMBER(E13/B13),E13/B13," - ")</f>
        <v>1875</v>
      </c>
      <c r="G13" s="849">
        <f>SUBTOTAL(9,G8:G12)</f>
        <v>9896</v>
      </c>
      <c r="H13" s="850">
        <f>IF(ISNUMBER(G13/B13),G13/B13," - ")</f>
        <v>1649.3333333333333</v>
      </c>
      <c r="I13" s="849">
        <f>SUBTOTAL(9,I8:I12)</f>
        <v>7829</v>
      </c>
      <c r="J13" s="850">
        <f>IF(ISNUMBER(I13/B13),I13/B13," - ")</f>
        <v>1304.8333333333333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2418</v>
      </c>
      <c r="D15" s="404">
        <f>IF(ISNUMBER(C15/Datos!BH15),C15/Datos!BH15," - ")</f>
        <v>806</v>
      </c>
      <c r="E15" s="403">
        <f>IF(ISNUMBER(IF(D_I="SI",Datos!J15,Datos!J15+Datos!AD15)),IF(D_I="SI",Datos!J15,Datos!J15+Datos!AD15)," - ")</f>
        <v>7996</v>
      </c>
      <c r="F15" s="404">
        <f>IF(ISNUMBER(E15/B15),E15/B15," - ")</f>
        <v>2665.3333333333335</v>
      </c>
      <c r="G15" s="403">
        <f>IF(ISNUMBER(IF(D_I="SI",Datos!K15,Datos!K15+Datos!AE15)),IF(D_I="SI",Datos!K15,Datos!K15+Datos!AE15)," - ")</f>
        <v>7041</v>
      </c>
      <c r="H15" s="404">
        <f>IF(ISNUMBER(G15/B15),G15/B15," - ")</f>
        <v>2347</v>
      </c>
      <c r="I15" s="403">
        <f>IF(ISNUMBER(IF(D_I="SI",Datos!L15,Datos!L15+Datos!AF15)),IF(D_I="SI",Datos!L15,Datos!L15+Datos!AF15)," - ")</f>
        <v>3146</v>
      </c>
      <c r="J15" s="404">
        <f>IF(ISNUMBER(I15/B15),I15/B15," - ")</f>
        <v>1048.6666666666667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213</v>
      </c>
      <c r="D17" s="404">
        <f>IF(ISNUMBER(C17/Datos!BH17),C17/Datos!BH17," - ")</f>
        <v>213</v>
      </c>
      <c r="E17" s="403">
        <f>IF(ISNUMBER(IF(D_I="SI",Datos!J17,Datos!J17+Datos!AD17)),IF(D_I="SI",Datos!J17,Datos!J17+Datos!AD17)," - ")</f>
        <v>499</v>
      </c>
      <c r="F17" s="404">
        <f>IF(ISNUMBER(E17/B17),E17/B17," - ")</f>
        <v>499</v>
      </c>
      <c r="G17" s="403">
        <f>IF(ISNUMBER(IF(D_I="SI",Datos!K17,Datos!K17+Datos!AE17)),IF(D_I="SI",Datos!K17,Datos!K17+Datos!AE17)," - ")</f>
        <v>381</v>
      </c>
      <c r="H17" s="404">
        <f>IF(ISNUMBER(G17/B17),G17/B17," - ")</f>
        <v>381</v>
      </c>
      <c r="I17" s="403">
        <f>IF(ISNUMBER(IF(D_I="SI",Datos!L17,Datos!L17+Datos!AF17)),IF(D_I="SI",Datos!L17,Datos!L17+Datos!AF17)," - ")</f>
        <v>331</v>
      </c>
      <c r="J17" s="404">
        <f>IF(ISNUMBER(I17/B17),I17/B17," - ")</f>
        <v>331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2631</v>
      </c>
      <c r="D18" s="850" t="str">
        <f>IF(ISNUMBER(C18/Datos!BI18),C18/Datos!BI18," - ")</f>
        <v xml:space="preserve"> - </v>
      </c>
      <c r="E18" s="849">
        <f>SUBTOTAL(9,E14:E17)</f>
        <v>8495</v>
      </c>
      <c r="F18" s="850">
        <f>IF(ISNUMBER(E18/B18),E18/B18," - ")</f>
        <v>2831.6666666666665</v>
      </c>
      <c r="G18" s="849">
        <f>SUBTOTAL(9,G14:G17)</f>
        <v>7422</v>
      </c>
      <c r="H18" s="850">
        <f>IF(ISNUMBER(G18/B18),G18/B18," - ")</f>
        <v>2474</v>
      </c>
      <c r="I18" s="849">
        <f>SUBTOTAL(9,I14:I17)</f>
        <v>3477</v>
      </c>
      <c r="J18" s="850">
        <f>IF(ISNUMBER(I18/B18),I18/B18," - ")</f>
        <v>1159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9084</v>
      </c>
      <c r="D19" s="795" t="str">
        <f>IF(ISNUMBER(C19/Datos!BI19),C19/Datos!BI19," - ")</f>
        <v xml:space="preserve"> - </v>
      </c>
      <c r="E19" s="794">
        <f>SUBTOTAL(9,E9:E18)</f>
        <v>19745</v>
      </c>
      <c r="F19" s="795">
        <f>IF(ISNUMBER(E19/B19),E19/B19," - ")</f>
        <v>2193.8888888888887</v>
      </c>
      <c r="G19" s="794">
        <f>SUBTOTAL(9,G9:G18)</f>
        <v>17318</v>
      </c>
      <c r="H19" s="795">
        <f>IF(ISNUMBER(G19/B19),G19/B19," - ")</f>
        <v>1924.2222222222222</v>
      </c>
      <c r="I19" s="794">
        <f>SUBTOTAL(9,I9:I18)</f>
        <v>11306</v>
      </c>
      <c r="J19" s="795">
        <f>IF(ISNUMBER(I19/B19),I19/B19," - ")</f>
        <v>1256.2222222222222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mi+A3798TzNgdk7SbaWqNgWZS+6BeV8w1vWHjue0Nsx004LNBj05OQTHUfEuYADDFaDge+UAnhYzm6IBx4VjQ==" saltValue="KJuI/qT4HoIq0AGEFJ7j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137</v>
      </c>
      <c r="AC10" s="683" t="str">
        <f>IF(ISNUMBER(IF(D_I="SI",DatosP!K17,DatosP!K17+DatosP!AE17)),IF(D_I="SI",DatosP!K17,DatosP!K17+DatosP!AE17)," - ")</f>
        <v xml:space="preserve"> - </v>
      </c>
      <c r="AD10" s="685"/>
      <c r="AE10" s="685"/>
      <c r="AF10" s="688">
        <f>IF(ISNUMBER(Datos!L10),Datos!L10,"-")</f>
        <v>90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40</v>
      </c>
      <c r="AN10" s="690">
        <f>IF(ISNUMBER(Datos!BW10+DatosP!BW17),Datos!BW10+DatosP!BW17," - ")</f>
        <v>0</v>
      </c>
      <c r="AO10" s="691">
        <f>IF(ISNUMBER(Datos!BX10+DatosP!BX17),Datos!BX10+DatosP!BX17," - ")</f>
        <v>0</v>
      </c>
      <c r="AP10" s="693">
        <f>IF(ISNUMBER(((Datos!L10/Datos!K10)*11)/factor_trimestre),((Datos!L10/Datos!K10)*11)/factor_trimestre," - ")</f>
        <v>7.2262773722627731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-3.4482758620689655E-2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137</v>
      </c>
      <c r="AC13" s="939">
        <f t="shared" si="1"/>
        <v>0</v>
      </c>
      <c r="AD13" s="939">
        <f t="shared" si="1"/>
        <v>2</v>
      </c>
      <c r="AE13" s="939">
        <f t="shared" si="1"/>
        <v>0</v>
      </c>
      <c r="AF13" s="939">
        <f t="shared" si="1"/>
        <v>90</v>
      </c>
      <c r="AG13" s="939">
        <f t="shared" si="1"/>
        <v>0</v>
      </c>
      <c r="AH13" s="939">
        <f t="shared" si="1"/>
        <v>56</v>
      </c>
      <c r="AI13" s="939">
        <f t="shared" si="1"/>
        <v>0</v>
      </c>
      <c r="AJ13" s="939">
        <f t="shared" si="1"/>
        <v>0</v>
      </c>
      <c r="AK13" s="939">
        <f t="shared" si="1"/>
        <v>0</v>
      </c>
      <c r="AL13" s="939">
        <f t="shared" si="1"/>
        <v>46</v>
      </c>
      <c r="AM13" s="939">
        <f t="shared" si="1"/>
        <v>41</v>
      </c>
      <c r="AN13" s="939">
        <f t="shared" si="1"/>
        <v>0</v>
      </c>
      <c r="AO13" s="939">
        <f t="shared" si="1"/>
        <v>0</v>
      </c>
      <c r="AP13" s="944">
        <f>IF(ISNUMBER(((Datos!L13/Datos!K13)*11)/factor_trimestre),((Datos!L13/Datos!K13)*11)/factor_trimestre," - ")</f>
        <v>9.9920162059103905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-1.1810344827586208</v>
      </c>
      <c r="AU13" s="939" t="str">
        <f>IF(ISNUMBER((DatosP!#REF!-DatosP!#REF!+DatosP!#REF!)/(DatosP!#REF!+DatosP!#REF!-DatosP!#REF!-DatosP!#REF!)),(DatosP!#REF!-DatosP!#REF!+DatosP!#REF!)/(DatosP!#REF!+DatosP!#REF!-DatosP!#REF!-DatosP!#REF!)," - ")</f>
        <v xml:space="preserve"> - </v>
      </c>
      <c r="AV13" s="945">
        <f>SUBTOTAL(9,AV9:AV12)</f>
        <v>-3.4482758620689655E-2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5.1531932093775268</v>
      </c>
      <c r="AQ18" s="944">
        <f>IF(ISNUMBER(((Datos!M18/Datos!L18)*11)/factor_trimestre),((Datos!M18/Datos!L18)*11)/factor_trimestre," - ")</f>
        <v>3.2016105838366404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0.1095890410958904</v>
      </c>
      <c r="AW18" s="946">
        <f>IF(ISNUMBER((Datos!Q18-Datos!R18)/(Datos!S18-Datos!Q18+Datos!R18)),(Datos!Q18-Datos!R18)/(Datos!S18-Datos!Q18+Datos!R18)," - ")</f>
        <v>-7.596067917783735E-3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137</v>
      </c>
      <c r="AC19" s="957">
        <f t="shared" si="5"/>
        <v>0</v>
      </c>
      <c r="AD19" s="957">
        <f t="shared" si="5"/>
        <v>2</v>
      </c>
      <c r="AE19" s="957">
        <f t="shared" si="5"/>
        <v>0</v>
      </c>
      <c r="AF19" s="958">
        <f t="shared" si="5"/>
        <v>90</v>
      </c>
      <c r="AG19" s="958">
        <f t="shared" si="5"/>
        <v>0</v>
      </c>
      <c r="AH19" s="958">
        <f t="shared" si="5"/>
        <v>56</v>
      </c>
      <c r="AI19" s="958">
        <f t="shared" si="5"/>
        <v>0</v>
      </c>
      <c r="AJ19" s="959">
        <f t="shared" si="5"/>
        <v>0</v>
      </c>
      <c r="AK19" s="959">
        <f t="shared" si="5"/>
        <v>0</v>
      </c>
      <c r="AL19" s="951">
        <f t="shared" si="5"/>
        <v>46</v>
      </c>
      <c r="AM19" s="951">
        <f t="shared" si="5"/>
        <v>41</v>
      </c>
      <c r="AN19" s="951">
        <f t="shared" si="5"/>
        <v>0</v>
      </c>
      <c r="AO19" s="951">
        <f t="shared" si="5"/>
        <v>0</v>
      </c>
      <c r="AP19" s="951">
        <f>IF(ISNUMBER(((Datos!L19/Datos!K19)*11)/factor_trimestre),((Datos!L19/Datos!K19)*11)/factor_trimestre," - ")</f>
        <v>7.7210067029214615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-1.1810344827586208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4.5370938074800735E-2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79.09698687897874</v>
      </c>
      <c r="AC21" s="738">
        <f>IF(ISNUMBER(STDEV(AC8:AC18)),STDEV(AC8:AC18),"-")</f>
        <v>0</v>
      </c>
      <c r="AD21" s="741"/>
      <c r="AE21" s="741"/>
      <c r="AF21" s="741"/>
      <c r="AG21" s="741"/>
      <c r="AH21" s="741"/>
      <c r="AI21" s="741"/>
      <c r="AJ21" s="742">
        <f>IF(ISNUMBER(STDEV(AJ8:AJ18)),STDEV(AJ8:AJ18),"-")</f>
        <v>0</v>
      </c>
      <c r="AK21" s="744"/>
      <c r="AL21" s="736">
        <f>IF(ISNUMBER(STDEV(AL8:AL18)),STDEV(AL8:AL18),"-")</f>
        <v>26.558112382722786</v>
      </c>
      <c r="AM21" s="736"/>
      <c r="AN21" s="736">
        <f>IF(ISNUMBER(STDEV(AN8:AN18)),STDEV(AN8:AN18),"-")</f>
        <v>0</v>
      </c>
      <c r="AO21" s="742">
        <f>IF(ISNUMBER(STDEV(AO8:AO18)),STDEV(AO8:AO18),"-")</f>
        <v>0</v>
      </c>
      <c r="AP21" s="779">
        <f>IF(ISNUMBER(STDEV(AP8:AP18)),STDEV(AP8:AP18),"-")</f>
        <v>2.4276599581396394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bDgkITH/INSA6MsAgcWN/5+uADbnFlUEPjh27U+33BXb0giTNlpW1/CYiPuj9ezLjwABs/JTjO1Ei7/dlATOQ==" saltValue="WSwNmp2y527bqYDdDnV4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SANTIAGO DE COMPOSTELA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CSxaBZQXmFYsm4WoOLIX3ZSoJYn+rq7Zhe1fWL5fageMiepXz0SlYCtbyA8qGfLNCYSEKTbfpDzfTH/Kr9NAw==" saltValue="eIrZFsDEZuDfOeMmQ8zv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SANTIAGO DE COMPOSTELA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2172</v>
      </c>
      <c r="E9" s="404">
        <f t="shared" ref="E9:E13" si="0">IF(ISNUMBER(D9/B9),D9/B9," - ")</f>
        <v>434.4</v>
      </c>
      <c r="F9" s="403">
        <f>IF(ISNUMBER(Datos!N9),Datos!N9," - ")</f>
        <v>2831</v>
      </c>
      <c r="G9" s="404">
        <f t="shared" ref="G9:G13" si="1">IF(ISNUMBER(F9/B9),F9/B9," - ")</f>
        <v>566.20000000000005</v>
      </c>
      <c r="H9" s="403">
        <f>IF(ISNUMBER(Datos!O9),Datos!O9," - ")</f>
        <v>3273</v>
      </c>
      <c r="I9" s="404">
        <f>IF(ISNUMBER(H9/B9),H9/B9," - ")</f>
        <v>654.6</v>
      </c>
      <c r="BZ9" s="1186">
        <f>Datos!EZ9</f>
        <v>0</v>
      </c>
    </row>
    <row r="10" spans="1:78">
      <c r="A10" s="402" t="str">
        <f>Datos!A10</f>
        <v>Jdos. Violencia contra la mujer</v>
      </c>
      <c r="B10" s="427">
        <f>Datos!AO10</f>
        <v>1</v>
      </c>
      <c r="C10" s="410">
        <f>Datos!AQ10</f>
        <v>0</v>
      </c>
      <c r="D10" s="403">
        <f>IF(ISNUMBER(Datos!M10),Datos!M10," - ")</f>
        <v>46</v>
      </c>
      <c r="E10" s="404">
        <f>IF(ISNUMBER(D10/B10),D10/B10," - ")</f>
        <v>46</v>
      </c>
      <c r="F10" s="403">
        <f>IF(ISNUMBER(Datos!N10),Datos!N10," - ")</f>
        <v>40</v>
      </c>
      <c r="G10" s="404">
        <f>IF(ISNUMBER(F10/B10),F10/B10," - ")</f>
        <v>40</v>
      </c>
      <c r="H10" s="403">
        <f>IF(ISNUMBER(Datos!O10),Datos!O10," - ")</f>
        <v>34</v>
      </c>
      <c r="I10" s="404">
        <f t="shared" ref="I10:I12" si="2">IF(ISNUMBER(H10/B10),H10/B10," - ")</f>
        <v>34</v>
      </c>
      <c r="BZ10" s="1186">
        <f>Datos!EZ10</f>
        <v>0</v>
      </c>
    </row>
    <row r="11" spans="1:78">
      <c r="A11" s="402" t="str">
        <f>Datos!A11</f>
        <v xml:space="preserve">Jdos. Familia                                   </v>
      </c>
      <c r="B11" s="427">
        <f>Datos!AO11</f>
        <v>1</v>
      </c>
      <c r="C11" s="410">
        <f>Datos!AQ11</f>
        <v>1</v>
      </c>
      <c r="D11" s="403">
        <f>IF(ISNUMBER(Datos!M11),Datos!M11," - ")</f>
        <v>358</v>
      </c>
      <c r="E11" s="404">
        <f t="shared" si="0"/>
        <v>358</v>
      </c>
      <c r="F11" s="403">
        <f>IF(ISNUMBER(Datos!N11),Datos!N11," - ")</f>
        <v>1488</v>
      </c>
      <c r="G11" s="404">
        <f t="shared" si="1"/>
        <v>1488</v>
      </c>
      <c r="H11" s="403">
        <f>IF(ISNUMBER(Datos!O11),Datos!O11," - ")</f>
        <v>436</v>
      </c>
      <c r="I11" s="404">
        <f t="shared" si="2"/>
        <v>436</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6</v>
      </c>
      <c r="C13" s="851">
        <f>Datos!AR13</f>
        <v>6</v>
      </c>
      <c r="D13" s="849">
        <f>SUBTOTAL(9,D9:D12)</f>
        <v>2576</v>
      </c>
      <c r="E13" s="850">
        <f t="shared" si="0"/>
        <v>429.33333333333331</v>
      </c>
      <c r="F13" s="849">
        <f>SUBTOTAL(9,F9:F12)</f>
        <v>4360</v>
      </c>
      <c r="G13" s="850">
        <f t="shared" si="1"/>
        <v>726.66666666666663</v>
      </c>
      <c r="H13" s="849">
        <f>SUBTOTAL(9,H9:H12)</f>
        <v>3744</v>
      </c>
      <c r="I13" s="850">
        <f>IF(ISNUMBER(H13/B13),H13/B13," - ")</f>
        <v>624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939</v>
      </c>
      <c r="E15" s="404">
        <f t="shared" ref="E15:E18" si="3">IF(ISNUMBER(D15/B15),D15/B15," - ")</f>
        <v>313</v>
      </c>
      <c r="F15" s="403">
        <f>IF(ISNUMBER(Datos!N15),Datos!N15," - ")</f>
        <v>4129</v>
      </c>
      <c r="G15" s="404">
        <f t="shared" ref="G15:G18" si="4">IF(ISNUMBER(F15/B15),F15/B15," - ")</f>
        <v>1376.3333333333333</v>
      </c>
      <c r="H15" s="403">
        <f>IF(ISNUMBER(Datos!O15),Datos!O15," - ")</f>
        <v>231</v>
      </c>
      <c r="I15" s="404">
        <f t="shared" ref="I15:I17" si="5">IF(ISNUMBER(H15/B15),H15/B15," - ")</f>
        <v>77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73</v>
      </c>
      <c r="E17" s="404">
        <f>IF(ISNUMBER(D17/B17),D17/B17," - ")</f>
        <v>73</v>
      </c>
      <c r="F17" s="403">
        <f>IF(ISNUMBER(Datos!N17),Datos!N17," - ")</f>
        <v>257</v>
      </c>
      <c r="G17" s="404">
        <f>IF(ISNUMBER(F17/B17),F17/B17," - ")</f>
        <v>257</v>
      </c>
      <c r="H17" s="403">
        <f>IF(ISNUMBER(Datos!O17),Datos!O17," - ")</f>
        <v>3</v>
      </c>
      <c r="I17" s="404">
        <f t="shared" si="5"/>
        <v>3</v>
      </c>
      <c r="BZ17" s="1186">
        <f>Datos!EZ17</f>
        <v>0</v>
      </c>
    </row>
    <row r="18" spans="1:78" ht="14.25" thickTop="1" thickBot="1">
      <c r="A18" s="848" t="str">
        <f>Datos!A18</f>
        <v>TOTAL</v>
      </c>
      <c r="B18" s="849">
        <f>Datos!AP18</f>
        <v>3</v>
      </c>
      <c r="C18" s="851">
        <f>Datos!AR18</f>
        <v>3</v>
      </c>
      <c r="D18" s="849">
        <f>SUBTOTAL(9,D15:D17)</f>
        <v>1012</v>
      </c>
      <c r="E18" s="850">
        <f t="shared" si="3"/>
        <v>337.33333333333331</v>
      </c>
      <c r="F18" s="849">
        <f>SUBTOTAL(9,F15:F17)</f>
        <v>4386</v>
      </c>
      <c r="G18" s="850">
        <f t="shared" si="4"/>
        <v>1462</v>
      </c>
      <c r="H18" s="849">
        <f>SUBTOTAL(9,H15:H17)</f>
        <v>234</v>
      </c>
      <c r="I18" s="850">
        <f>IF(ISNUMBER(H18/B18),H18/B18," - ")</f>
        <v>78</v>
      </c>
      <c r="BZ18" s="1186"/>
    </row>
    <row r="19" spans="1:78" ht="14.25" thickTop="1" thickBot="1">
      <c r="A19" s="793" t="str">
        <f>Datos!A19</f>
        <v>TOTAL JURISDICCIONES</v>
      </c>
      <c r="B19" s="794">
        <f>Datos!AP19</f>
        <v>9</v>
      </c>
      <c r="C19" s="794">
        <f>Datos!AR19</f>
        <v>9</v>
      </c>
      <c r="D19" s="794">
        <f>SUBTOTAL(9,D8:D18)</f>
        <v>3588</v>
      </c>
      <c r="E19" s="795">
        <f>IF(ISNUMBER(D19/B19),D19/B19," - ")</f>
        <v>398.66666666666669</v>
      </c>
      <c r="F19" s="794">
        <f>SUBTOTAL(9,F8:F18)</f>
        <v>8746</v>
      </c>
      <c r="G19" s="795">
        <f>IF(ISNUMBER(F19/B19),F19/B19," - ")</f>
        <v>971.77777777777783</v>
      </c>
      <c r="H19" s="794">
        <f>SUBTOTAL(9,H8:H18)</f>
        <v>3978</v>
      </c>
      <c r="I19" s="795">
        <f>IF(ISNUMBER(H19/B19),H19/B19," - ")</f>
        <v>442</v>
      </c>
    </row>
    <row r="22" spans="1:78">
      <c r="A22" s="391" t="str">
        <f>Criterios!A4</f>
        <v>Fecha Informe: 28 feb. 2025</v>
      </c>
    </row>
    <row r="27" spans="1:78">
      <c r="A27" s="414"/>
    </row>
  </sheetData>
  <sheetProtection algorithmName="SHA-512" hashValue="28DjAVS+v1V1KLSHsij8ID8FAHYKBHj2EDdZwYg8D/JniUtIVMnnqxAa37oBII3RPiplyEEmOvs/Rn248ykn3A==" saltValue="8LEiIAIGLzNy0KtEBOKk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SANTIAGO DE COMPOSTELA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1545</v>
      </c>
      <c r="C9" s="434">
        <f>IF(ISNUMBER(Datos!Q9),Datos!Q9," - ")</f>
        <v>1256</v>
      </c>
      <c r="D9" s="408">
        <f>IF(ISNUMBER(Datos!R9),Datos!R9," - ")</f>
        <v>5971</v>
      </c>
    </row>
    <row r="10" spans="1:4">
      <c r="A10" s="402" t="str">
        <f>Datos!A10</f>
        <v>Jdos. Violencia contra la mujer</v>
      </c>
      <c r="B10" s="433">
        <f>IF(ISNUMBER(Datos!P10),Datos!P10," - ")</f>
        <v>20</v>
      </c>
      <c r="C10" s="434">
        <f>IF(ISNUMBER(Datos!Q10),Datos!Q10," - ")</f>
        <v>26</v>
      </c>
      <c r="D10" s="408">
        <f>IF(ISNUMBER(Datos!R10),Datos!R10," - ")</f>
        <v>48</v>
      </c>
    </row>
    <row r="11" spans="1:4">
      <c r="A11" s="402" t="str">
        <f>Datos!A11</f>
        <v xml:space="preserve">Jdos. Familia                                   </v>
      </c>
      <c r="B11" s="433">
        <f>IF(ISNUMBER(Datos!P11),Datos!P11," - ")</f>
        <v>123</v>
      </c>
      <c r="C11" s="434">
        <f>IF(ISNUMBER(Datos!Q11),Datos!Q11," - ")</f>
        <v>140</v>
      </c>
      <c r="D11" s="408">
        <f>IF(ISNUMBER(Datos!R11),Datos!R11," - ")</f>
        <v>421</v>
      </c>
    </row>
    <row r="12" spans="1:4" ht="13.5" thickBot="1">
      <c r="A12" s="402" t="str">
        <f>Datos!A12</f>
        <v xml:space="preserve">Jdos. 1ª Instª. e Instr.                        </v>
      </c>
      <c r="B12" s="433">
        <f>IF(ISNUMBER(Datos!P12),Datos!P12," - ")</f>
        <v>0</v>
      </c>
      <c r="C12" s="434">
        <f>IF(ISNUMBER(Datos!Q12),Datos!Q12," - ")</f>
        <v>2</v>
      </c>
      <c r="D12" s="408">
        <f>IF(ISNUMBER(Datos!R12),Datos!R12," - ")</f>
        <v>56</v>
      </c>
    </row>
    <row r="13" spans="1:4" ht="14.25" thickTop="1" thickBot="1">
      <c r="A13" s="848" t="str">
        <f>Datos!A13</f>
        <v>TOTAL</v>
      </c>
      <c r="B13" s="849">
        <f>SUBTOTAL(9,B9:B12)</f>
        <v>1688</v>
      </c>
      <c r="C13" s="853">
        <f>SUBTOTAL(9,C9:C12)</f>
        <v>1424</v>
      </c>
      <c r="D13" s="851">
        <f>SUBTOTAL(9,D9:D12)</f>
        <v>6496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335</v>
      </c>
      <c r="C15" s="434">
        <f>IF(ISNUMBER(Datos!Q15),Datos!Q15," - ")</f>
        <v>299</v>
      </c>
      <c r="D15" s="408">
        <f>IF(ISNUMBER(Datos!R15),Datos!R15," - ")</f>
        <v>322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8</v>
      </c>
      <c r="D17" s="408">
        <f>IF(ISNUMBER(Datos!R17),Datos!R17," - ")</f>
        <v>2</v>
      </c>
    </row>
    <row r="18" spans="1:4" ht="14.25" thickTop="1" thickBot="1">
      <c r="A18" s="848" t="str">
        <f>Datos!A18</f>
        <v>TOTAL</v>
      </c>
      <c r="B18" s="849">
        <f>SUBTOTAL(9,B15:B17)</f>
        <v>339</v>
      </c>
      <c r="C18" s="853">
        <f>SUBTOTAL(9,C15:C17)</f>
        <v>307</v>
      </c>
      <c r="D18" s="851">
        <f>SUBTOTAL(9,D15:D17)</f>
        <v>324</v>
      </c>
    </row>
    <row r="19" spans="1:4" ht="16.5" customHeight="1" thickTop="1" thickBot="1">
      <c r="A19" s="793" t="str">
        <f>Datos!A19</f>
        <v>TOTAL JURISDICCIONES</v>
      </c>
      <c r="B19" s="798">
        <f>SUBTOTAL(9,B8:B18)</f>
        <v>2027</v>
      </c>
      <c r="C19" s="799">
        <f>SUBTOTAL(9,C8:C18)</f>
        <v>1731</v>
      </c>
      <c r="D19" s="800">
        <f>SUBTOTAL(9,D8:D18)</f>
        <v>6820</v>
      </c>
    </row>
    <row r="20" spans="1:4" ht="7.5" customHeight="1"/>
    <row r="21" spans="1:4" ht="6" customHeight="1"/>
    <row r="22" spans="1:4">
      <c r="A22" s="391" t="str">
        <f>Criterios!A4</f>
        <v>Fecha Informe: 28 feb. 2025</v>
      </c>
    </row>
    <row r="27" spans="1:4">
      <c r="A27" s="414"/>
    </row>
  </sheetData>
  <sheetProtection algorithmName="SHA-512" hashValue="RTnqNSVpR02GmkPa7q0tmlSnBzGSYm31/KtUNHomqa9cgGzhToytyyPnOx+SF9L6xNip7c9z3pemkWbWVpnMMQ==" saltValue="wibfS8iu1Bh1Ocpgfrsa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SANTIAGO DE COMPOSTELA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0.38851699279093715</v>
      </c>
      <c r="C9" s="456">
        <f>IF(ISNUMBER(
   IF(J_V="SI",(Datos!J9-Datos!T9)/Datos!T9,(Datos!J9+Datos!Z9-(Datos!T9+Datos!AH9))/(Datos!T9+Datos!AH9))
     ),IF(J_V="SI",(Datos!J9-Datos!T9)/Datos!T9,(Datos!J9+Datos!Z9-(Datos!T9+Datos!AH9))/(Datos!T9+Datos!AH9))," - ")</f>
        <v>0.24206349206349206</v>
      </c>
      <c r="D9" s="456">
        <f>IF(ISNUMBER(
   IF(J_V="SI",(Datos!K9-Datos!U9)/Datos!U9,(Datos!K9+Datos!AA9-(Datos!U9+Datos!AI9))/(Datos!U9+Datos!AI9))
     ),IF(J_V="SI",(Datos!K9-Datos!U9)/Datos!U9,(Datos!K9+Datos!AA9-(Datos!U9+Datos!AI9))/(Datos!U9+Datos!AI9))," - ")</f>
        <v>0.3343252231752144</v>
      </c>
      <c r="E9" s="456">
        <f>IF(ISNUMBER(
   IF(J_V="SI",(Datos!L9-Datos!V9)/Datos!V9,(Datos!L9+Datos!AB9-(Datos!V9+Datos!AJ9))/(Datos!V9+Datos!AJ9))
     ),IF(J_V="SI",(Datos!L9-Datos!V9)/Datos!V9,(Datos!L9+Datos!AB9-(Datos!V9+Datos!AJ9))/(Datos!V9+Datos!AJ9))," - ")</f>
        <v>0.26831077322455033</v>
      </c>
      <c r="F9" s="456">
        <f>IF(ISNUMBER((Datos!M9-Datos!W9)/Datos!W9),(Datos!M9-Datos!W9)/Datos!W9," - ")</f>
        <v>0.42239685658153242</v>
      </c>
      <c r="G9" s="457">
        <f>IF(ISNUMBER((Datos!N9-Datos!X9)/Datos!X9),(Datos!N9-Datos!X9)/Datos!X9," - ")</f>
        <v>0.32661668228678536</v>
      </c>
      <c r="H9" s="455">
        <f>IF(ISNUMBER(((NºAsuntos!G9/NºAsuntos!E9)-Datos!BD9)/Datos!BD9),((NºAsuntos!G9/NºAsuntos!E9)-Datos!BD9)/Datos!BD9," - ")</f>
        <v>7.4281010351929827E-2</v>
      </c>
      <c r="I9" s="456">
        <f>IF(ISNUMBER(((NºAsuntos!I9/NºAsuntos!G9)-Datos!BE9)/Datos!BE9),((NºAsuntos!I9/NºAsuntos!G9)-Datos!BE9)/Datos!BE9," - ")</f>
        <v>-4.9474032870017615E-2</v>
      </c>
      <c r="J9" s="461">
        <f>IF(ISNUMBER((('Resol  Asuntos'!D9/NºAsuntos!G9)-Datos!BF9)/Datos!BF9),(('Resol  Asuntos'!D9/NºAsuntos!G9)-Datos!BF9)/Datos!BF9," - ")</f>
        <v>-0.2372122495663434</v>
      </c>
      <c r="K9" s="462">
        <f>IF(ISNUMBER((((NºAsuntos!C9+NºAsuntos!E9)/NºAsuntos!G9)-Datos!BG9)/Datos!BG9),(((NºAsuntos!C9+NºAsuntos!E9)/NºAsuntos!G9)-Datos!BG9)/Datos!BG9," - ")</f>
        <v>-3.1054982302626662E-2</v>
      </c>
    </row>
    <row r="10" spans="1:11">
      <c r="A10" s="402" t="str">
        <f>Datos!A10</f>
        <v>Jdos. Violencia contra la mujer</v>
      </c>
      <c r="B10" s="455">
        <f>IF(ISNUMBER((Datos!I10-Datos!S10)/Datos!S10),(Datos!I10-Datos!S10)/Datos!S10," - ")</f>
        <v>0.54666666666666663</v>
      </c>
      <c r="C10" s="456">
        <f>IF(ISNUMBER((Datos!J10-Datos!T10)/Datos!T10),(Datos!J10-Datos!T10)/Datos!T10," - ")</f>
        <v>-9.7560975609756101E-2</v>
      </c>
      <c r="D10" s="456">
        <f>IF(ISNUMBER((Datos!K10-Datos!U10)/Datos!U10),(Datos!K10-Datos!U10)/Datos!U10," - ")</f>
        <v>0.67073170731707321</v>
      </c>
      <c r="E10" s="456">
        <f>IF(ISNUMBER((Datos!L10-Datos!V10)/Datos!V10),(Datos!L10-Datos!V10)/Datos!V10," - ")</f>
        <v>-0.22413793103448276</v>
      </c>
      <c r="F10" s="456">
        <f>IF(ISNUMBER((Datos!M10-Datos!W10)/Datos!W10),(Datos!M10-Datos!W10)/Datos!W10," - ")</f>
        <v>0.31428571428571428</v>
      </c>
      <c r="G10" s="457">
        <f>IF(ISNUMBER((Datos!N10-Datos!X10)/Datos!X10),(Datos!N10-Datos!X10)/Datos!X10," - ")</f>
        <v>0.14285714285714285</v>
      </c>
      <c r="H10" s="455">
        <f>IF(ISNUMBER(((NºAsuntos!G10/NºAsuntos!E10)-Datos!BD10)/Datos!BD10),((NºAsuntos!G10/NºAsuntos!E10)-Datos!BD10)/Datos!BD10," - ")</f>
        <v>0.85135135135135154</v>
      </c>
      <c r="I10" s="456">
        <f>IF(ISNUMBER(((NºAsuntos!I10/NºAsuntos!G10)-Datos!BE10)/Datos!BE10),((NºAsuntos!I10/NºAsuntos!G10)-Datos!BE10)/Datos!BE10," - ")</f>
        <v>-0.53561540397684371</v>
      </c>
      <c r="J10" s="461">
        <f>IF(ISNUMBER((('Resol  Asuntos'!D10/NºAsuntos!G10)-Datos!BF10)/Datos!BF10),(('Resol  Asuntos'!D10/NºAsuntos!G10)-Datos!BF10)/Datos!BF10," - ")</f>
        <v>-0.21334723670490097</v>
      </c>
      <c r="K10" s="462">
        <f>IF(ISNUMBER((((NºAsuntos!C10+NºAsuntos!E10)/NºAsuntos!G10)-Datos!BG10)/Datos!BG10),(((NºAsuntos!C10+NºAsuntos!E10)/NºAsuntos!G10)-Datos!BG10)/Datos!BG10," - ")</f>
        <v>-0.31379488313794879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0.16852540272614622</v>
      </c>
      <c r="C11" s="456">
        <f>IF(ISNUMBER(
   IF(J_V="SI",(Datos!J11-Datos!T11)/Datos!T11,(Datos!J11+Datos!Z11-(Datos!T11+Datos!AH11))/(Datos!T11+Datos!AH11))
     ),IF(J_V="SI",(Datos!J11-Datos!T11)/Datos!T11,(Datos!J11+Datos!Z11-(Datos!T11+Datos!AH11))/(Datos!T11+Datos!AH11))," - ")</f>
        <v>0.1121898597626753</v>
      </c>
      <c r="D11" s="456">
        <f>IF(ISNUMBER(
   IF(J_V="SI",(Datos!K11-Datos!U11)/Datos!U11,(Datos!K11+Datos!AA11-(Datos!U11+Datos!AI11))/(Datos!U11+Datos!AI11))
     ),IF(J_V="SI",(Datos!K11-Datos!U11)/Datos!U11,(Datos!K11+Datos!AA11-(Datos!U11+Datos!AI11))/(Datos!U11+Datos!AI11))," - ")</f>
        <v>0.24330616996507567</v>
      </c>
      <c r="E11" s="456">
        <f>IF(ISNUMBER(
   IF(J_V="SI",(Datos!L11-Datos!V11)/Datos!V11,(Datos!L11+Datos!AB11-(Datos!V11+Datos!AJ11))/(Datos!V11+Datos!AJ11))
     ),IF(J_V="SI",(Datos!L11-Datos!V11)/Datos!V11,(Datos!L11+Datos!AB11-(Datos!V11+Datos!AJ11))/(Datos!V11+Datos!AJ11))," - ")</f>
        <v>-4.6659597030752918E-2</v>
      </c>
      <c r="F11" s="456">
        <f>IF(ISNUMBER((Datos!M11-Datos!W11)/Datos!W11),(Datos!M11-Datos!W11)/Datos!W11," - ")</f>
        <v>0.10835913312693499</v>
      </c>
      <c r="G11" s="457">
        <f>IF(ISNUMBER((Datos!N11-Datos!X11)/Datos!X11),(Datos!N11-Datos!X11)/Datos!X11," - ")</f>
        <v>8.8135593220338981E-3</v>
      </c>
      <c r="H11" s="455">
        <f>IF(ISNUMBER(((NºAsuntos!G11/NºAsuntos!E11)-Datos!BD11)/Datos!BD11),((NºAsuntos!G11/NºAsuntos!E11)-Datos!BD11)/Datos!BD11," - ")</f>
        <v>0.11789022265531041</v>
      </c>
      <c r="I11" s="456">
        <f>IF(ISNUMBER(((NºAsuntos!I11/NºAsuntos!G11)-Datos!BE11)/Datos!BE11),((NºAsuntos!I11/NºAsuntos!G11)-Datos!BE11)/Datos!BE11," - ")</f>
        <v>-0.23322152982155134</v>
      </c>
      <c r="J11" s="461">
        <f>IF(ISNUMBER((('Resol  Asuntos'!D11/NºAsuntos!G11)-Datos!BF11)/Datos!BF11),(('Resol  Asuntos'!D11/NºAsuntos!G11)-Datos!BF11)/Datos!BF11," - ")</f>
        <v>-0.80478512029454707</v>
      </c>
      <c r="K11" s="462">
        <f>IF(ISNUMBER((((NºAsuntos!C11+NºAsuntos!E11)/NºAsuntos!G11)-Datos!BG11)/Datos!BG11),(((NºAsuntos!C11+NºAsuntos!E11)/NºAsuntos!G11)-Datos!BG11)/Datos!BG11," - ")</f>
        <v>-9.1716315710210022E-2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f>IF(ISNUMBER((Datos!N12-Datos!X12)/Datos!X12),(Datos!N12-Datos!X12)/Datos!X12," - ")</f>
        <v>-0.66666666666666663</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0.35368156073001888</v>
      </c>
      <c r="C13" s="855">
        <f>IF(ISNUMBER(
   IF(J_V="SI",(Datos!J13-Datos!T13)/Datos!T13,(Datos!J13+Datos!Z13-(Datos!T13+Datos!AH13))/(Datos!T13+Datos!AH13))
     ),IF(J_V="SI",(Datos!J13-Datos!T13)/Datos!T13,(Datos!J13+Datos!Z13-(Datos!T13+Datos!AH13))/(Datos!T13+Datos!AH13))," - ")</f>
        <v>0.21124031007751937</v>
      </c>
      <c r="D13" s="855">
        <f>IF(ISNUMBER(
   IF(J_V="SI",(Datos!K13-Datos!U13)/Datos!U13,(Datos!K13+Datos!AA13-(Datos!U13+Datos!AI13))/(Datos!U13+Datos!AI13))
     ),IF(J_V="SI",(Datos!K13-Datos!U13)/Datos!U13,(Datos!K13+Datos!AA13-(Datos!U13+Datos!AI13))/(Datos!U13+Datos!AI13))," - ")</f>
        <v>0.31665779670037253</v>
      </c>
      <c r="E13" s="855">
        <f>IF(ISNUMBER(
   IF(J_V="SI",(Datos!L13-Datos!V13)/Datos!V13,(Datos!L13+Datos!AB13-(Datos!V13+Datos!AJ13))/(Datos!V13+Datos!AJ13))
     ),IF(J_V="SI",(Datos!L13-Datos!V13)/Datos!V13,(Datos!L13+Datos!AB13-(Datos!V13+Datos!AJ13))/(Datos!V13+Datos!AJ13))," - ")</f>
        <v>0.2132341546567488</v>
      </c>
      <c r="F13" s="856">
        <f>IF(ISNUMBER((Datos!M13-Datos!W13)/Datos!W13),(Datos!M13-Datos!W13)/Datos!W13," - ")</f>
        <v>0.36657824933687</v>
      </c>
      <c r="G13" s="857">
        <f>IF(ISNUMBER((Datos!N13-Datos!X13)/Datos!X13),(Datos!N13-Datos!X13)/Datos!X13," - ")</f>
        <v>0.19550315327666576</v>
      </c>
      <c r="H13" s="857">
        <f>IF(ISNUMBER(((NºAsuntos!G13/NºAsuntos!E13)-Datos!BD13)/Datos!BD13),((NºAsuntos!G13/NºAsuntos!E13)-Datos!BD13)/Datos!BD13," - ")</f>
        <v>8.7032676955827518E-2</v>
      </c>
      <c r="I13" s="857">
        <f>IF(ISNUMBER(((NºAsuntos!I13/NºAsuntos!G13)-Datos!BE13)/Datos!BE13),((NºAsuntos!I13/NºAsuntos!G13)-Datos!BE13)/Datos!BE13," - ")</f>
        <v>-7.8550130719470146E-2</v>
      </c>
      <c r="J13" s="857">
        <f>IF(ISNUMBER((('Resol  Asuntos'!D13/NºAsuntos!G13)-Datos!BF13)/Datos!BF13),(('Resol  Asuntos'!D13/NºAsuntos!G13)-Datos!BF13)/Datos!BF13," - ")</f>
        <v>-0.4635402039172849</v>
      </c>
      <c r="K13" s="857">
        <f>IF(ISNUMBER((((NºAsuntos!C13+NºAsuntos!E13)/NºAsuntos!G13)-Datos!BG13)/Datos!BG13),(((NºAsuntos!C13+NºAsuntos!E13)/NºAsuntos!G13)-Datos!BG13)/Datos!BG13," - ")</f>
        <v>-4.3371964913219131E-2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0.18996062992125984</v>
      </c>
      <c r="C15" s="456">
        <f>IF(ISNUMBER(
   IF(D_I="SI",(Datos!J15-Datos!T15)/Datos!T15,(Datos!J15+Datos!AD15-(Datos!T15+Datos!AL15))/(Datos!T15+Datos!AL15))
     ),IF(D_I="SI",(Datos!J15-Datos!T15)/Datos!T15,(Datos!J15+Datos!AD15-(Datos!T15+Datos!AL15))/(Datos!T15+Datos!AL15))," - ")</f>
        <v>6.9985280342566569E-2</v>
      </c>
      <c r="D15" s="456">
        <f>IF(ISNUMBER(
   IF(D_I="SI",(Datos!K15-Datos!U15)/Datos!U15,(Datos!K15+Datos!AE15-(Datos!U15+Datos!AM15))/(Datos!U15+Datos!AM15))
     ),IF(D_I="SI",(Datos!K15-Datos!U15)/Datos!U15,(Datos!K15+Datos!AE15-(Datos!U15+Datos!AM15))/(Datos!U15+Datos!AM15))," - ")</f>
        <v>-8.1701648119453449E-3</v>
      </c>
      <c r="E15" s="456">
        <f>IF(ISNUMBER(
   IF(D_I="SI",(Datos!L15-Datos!V15)/Datos!V15,(Datos!L15+Datos!AF15-(Datos!V15+Datos!AN15))/(Datos!V15+Datos!AN15))
     ),IF(D_I="SI",(Datos!L15-Datos!V15)/Datos!V15,(Datos!L15+Datos!AF15-(Datos!V15+Datos!AN15))/(Datos!V15+Datos!AN15))," - ")</f>
        <v>0.30107526881720431</v>
      </c>
      <c r="F15" s="456">
        <f>IF(ISNUMBER((Datos!M15-Datos!W15)/Datos!W15),(Datos!M15-Datos!W15)/Datos!W15," - ")</f>
        <v>0.16936488169364883</v>
      </c>
      <c r="G15" s="457">
        <f>IF(ISNUMBER((Datos!N15-Datos!X15)/Datos!X15),(Datos!N15-Datos!X15)/Datos!X15," - ")</f>
        <v>4.3467273186757645E-2</v>
      </c>
      <c r="H15" s="455">
        <f>IF(ISNUMBER(((NºAsuntos!G15/NºAsuntos!E15)-Datos!BD15)/Datos!BD15),((NºAsuntos!G15/NºAsuntos!E15)-Datos!BD15)/Datos!BD15," - ")</f>
        <v>-7.3043476943430191E-2</v>
      </c>
      <c r="I15" s="456">
        <f>IF(ISNUMBER(((NºAsuntos!I15/NºAsuntos!G15)-Datos!BE15)/Datos!BE15),((NºAsuntos!I15/NºAsuntos!G15)-Datos!BE15)/Datos!BE15," - ")</f>
        <v>0.31179283245751072</v>
      </c>
      <c r="J15" s="461">
        <f>IF(ISNUMBER((('Resol  Asuntos'!D15/NºAsuntos!G15)-Datos!BF15)/Datos!BF15),(('Resol  Asuntos'!D15/NºAsuntos!G15)-Datos!BF15)/Datos!BF15," - ")</f>
        <v>0.17899748546274868</v>
      </c>
      <c r="K15" s="462">
        <f>IF(ISNUMBER((((NºAsuntos!C15+NºAsuntos!E15)/NºAsuntos!G15)-Datos!BG15)/Datos!BG15),(((NºAsuntos!C15+NºAsuntos!E15)/NºAsuntos!G15)-Datos!BG15)/Datos!BG15," - ")</f>
        <v>0.10465912401108088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0.12698412698412698</v>
      </c>
      <c r="C17" s="456">
        <f>IF(ISNUMBER(
   IF(D_I="SI",(Datos!J17-Datos!T17)/Datos!T17,(Datos!J17+Datos!AD17-(Datos!T17+Datos!AL17))/(Datos!T17+Datos!AL17))
     ),IF(D_I="SI",(Datos!J17-Datos!T17)/Datos!T17,(Datos!J17+Datos!AD17-(Datos!T17+Datos!AL17))/(Datos!T17+Datos!AL17))," - ")</f>
        <v>-0.13518197573656845</v>
      </c>
      <c r="D17" s="456">
        <f>IF(ISNUMBER(
   IF(D_I="SI",(Datos!K17-Datos!U17)/Datos!U17,(Datos!K17+Datos!AE17-(Datos!U17+Datos!AM17))/(Datos!U17+Datos!AM17))
     ),IF(D_I="SI",(Datos!K17-Datos!U17)/Datos!U17,(Datos!K17+Datos!AE17-(Datos!U17+Datos!AM17))/(Datos!U17+Datos!AM17))," - ")</f>
        <v>-0.31227436823104693</v>
      </c>
      <c r="E17" s="456">
        <f>IF(ISNUMBER(
   IF(D_I="SI",(Datos!L17-Datos!V17)/Datos!V17,(Datos!L17+Datos!AF17-(Datos!V17+Datos!AN17))/(Datos!V17+Datos!AN17))
     ),IF(D_I="SI",(Datos!L17-Datos!V17)/Datos!V17,(Datos!L17+Datos!AF17-(Datos!V17+Datos!AN17))/(Datos!V17+Datos!AN17))," - ")</f>
        <v>0.5539906103286385</v>
      </c>
      <c r="F17" s="456">
        <f>IF(ISNUMBER((Datos!M17-Datos!W17)/Datos!W17),(Datos!M17-Datos!W17)/Datos!W17," - ")</f>
        <v>-3.9473684210526314E-2</v>
      </c>
      <c r="G17" s="457">
        <f>IF(ISNUMBER((Datos!N17-Datos!X17)/Datos!X17),(Datos!N17-Datos!X17)/Datos!X17," - ")</f>
        <v>0.43575418994413406</v>
      </c>
      <c r="H17" s="455">
        <f>IF(ISNUMBER(((NºAsuntos!G17/NºAsuntos!E17)-Datos!BD17)/Datos!BD17),((NºAsuntos!G17/NºAsuntos!E17)-Datos!BD17)/Datos!BD17," - ")</f>
        <v>-0.20477416927718253</v>
      </c>
      <c r="I17" s="456">
        <f>IF(ISNUMBER(((NºAsuntos!I17/NºAsuntos!G17)-Datos!BE17)/Datos!BE17),((NºAsuntos!I17/NºAsuntos!G17)-Datos!BE17)/Datos!BE17," - ")</f>
        <v>1.2596083940211698</v>
      </c>
      <c r="J17" s="461">
        <f>IF(ISNUMBER((('Resol  Asuntos'!D17/NºAsuntos!G17)-Datos!BF17)/Datos!BF17),(('Resol  Asuntos'!D17/NºAsuntos!G17)-Datos!BF17)/Datos!BF17," - ")</f>
        <v>0.39667081088548145</v>
      </c>
      <c r="K17" s="462">
        <f>IF(ISNUMBER((((NºAsuntos!C17+NºAsuntos!E17)/NºAsuntos!G17)-Datos!BG17)/Datos!BG17),(((NºAsuntos!C17+NºAsuntos!E17)/NºAsuntos!G17)-Datos!BG17)/Datos!BG17," - ")</f>
        <v>0.35156212523042968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0.18460153084196307</v>
      </c>
      <c r="C18" s="855">
        <f>IF(ISNUMBER(
   IF(Criterios!B14="SI",(Datos!J18-Datos!T18)/Datos!T18,(Datos!J18+Datos!AD18-(Datos!T18+Datos!AL18))/(Datos!T18+Datos!AL18))
     ),IF(Criterios!B14="SI",(Datos!J18-Datos!T18)/Datos!T18,(Datos!J18+Datos!AD18-(Datos!T18+Datos!AL18))/(Datos!T18+Datos!AL18))," - ")</f>
        <v>5.5279503105590065E-2</v>
      </c>
      <c r="D18" s="855">
        <f>IF(ISNUMBER(
   IF(Criterios!B14="SI",(Datos!K18-Datos!U18)/Datos!U18,(Datos!K18+Datos!AE18-(Datos!U18+Datos!AM18))/(Datos!U18+Datos!AM18))
     ),IF(Criterios!B14="SI",(Datos!K18-Datos!U18)/Datos!U18,(Datos!K18+Datos!AE18-(Datos!U18+Datos!AM18))/(Datos!U18+Datos!AM18))," - ")</f>
        <v>-3.018424147393179E-2</v>
      </c>
      <c r="E18" s="855">
        <f>IF(ISNUMBER(
   IF(Criterios!B14="SI",(Datos!L18-Datos!V18)/Datos!V18,(Datos!L18+Datos!AF18-(Datos!V18+Datos!AN18))/(Datos!V18+Datos!AN18))
     ),IF(Criterios!B14="SI",(Datos!L18-Datos!V18)/Datos!V18,(Datos!L18+Datos!AF18-(Datos!V18+Datos!AN18))/(Datos!V18+Datos!AN18))," - ")</f>
        <v>0.32155074116305588</v>
      </c>
      <c r="F18" s="856">
        <f>IF(ISNUMBER((Datos!M18-Datos!W18)/Datos!W18),(Datos!M18-Datos!W18)/Datos!W18," - ")</f>
        <v>0.15130830489192265</v>
      </c>
      <c r="G18" s="857">
        <f>IF(ISNUMBER((Datos!N18-Datos!X18)/Datos!X18),(Datos!N18-Datos!X18)/Datos!X18," - ")</f>
        <v>6.0444874274661511E-2</v>
      </c>
      <c r="H18" s="857">
        <f>IF(ISNUMBER(((NºAsuntos!G18/NºAsuntos!E18)-Datos!BD18)/Datos!BD18),((NºAsuntos!G18/NºAsuntos!E18)-Datos!BD18)/Datos!BD18," - ")</f>
        <v>-8.0986832709258466E-2</v>
      </c>
      <c r="I18" s="857">
        <f>IF(ISNUMBER(((NºAsuntos!I18/NºAsuntos!G18)-Datos!BE18)/Datos!BE18),((NºAsuntos!I18/NºAsuntos!G18)-Datos!BE18)/Datos!BE18," - ")</f>
        <v>0.362682271910653</v>
      </c>
      <c r="J18" s="857">
        <f>IF(ISNUMBER((('Resol  Asuntos'!D18/NºAsuntos!G18)-Datos!BF18)/Datos!BF18),(('Resol  Asuntos'!D18/NºAsuntos!G18)-Datos!BF18)/Datos!BF18," - ")</f>
        <v>0.18714126345161464</v>
      </c>
      <c r="K18" s="857">
        <f>IF(ISNUMBER((((NºAsuntos!C18+NºAsuntos!E18)/NºAsuntos!G18)-Datos!BG18)/Datos!BG18),(((NºAsuntos!C18+NºAsuntos!E18)/NºAsuntos!G18)-Datos!BG18)/Datos!BG18," - ")</f>
        <v>0.11695863442660244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0.29994275901545508</v>
      </c>
      <c r="C19" s="802">
        <f>IF(ISNUMBER(
   IF(J_V="SI",(Datos!J19-Datos!T19)/Datos!T19,(Datos!J19+Datos!Z19-(Datos!T19+Datos!AH19))/(Datos!T19+Datos!AH19))
     ),IF(J_V="SI",(Datos!J19-Datos!T19)/Datos!T19,(Datos!J19+Datos!Z19-(Datos!T19+Datos!AH19))/(Datos!T19+Datos!AH19))," - ")</f>
        <v>0.13882800784404198</v>
      </c>
      <c r="D19" s="802">
        <f>IF(ISNUMBER(
   IF(J_V="SI",(Datos!K19-Datos!U19)/Datos!U19,(Datos!K19+Datos!AA19-(Datos!U19+Datos!AI19))/(Datos!U19+Datos!AI19))
     ),IF(J_V="SI",(Datos!K19-Datos!U19)/Datos!U19,(Datos!K19+Datos!AA19-(Datos!U19+Datos!AI19))/(Datos!U19+Datos!AI19))," - ")</f>
        <v>0.14167051222888785</v>
      </c>
      <c r="E19" s="802">
        <f>IF(ISNUMBER(
   IF(J_V="SI",(Datos!L19-Datos!V19)/Datos!V19,(Datos!L19+Datos!AB19-(Datos!V19+Datos!AJ19))/(Datos!V19+Datos!AJ19))
     ),IF(J_V="SI",(Datos!L19-Datos!V19)/Datos!V19,(Datos!L19+Datos!AB19-(Datos!V19+Datos!AJ19))/(Datos!V19+Datos!AJ19))," - ")</f>
        <v>0.24460590048436812</v>
      </c>
      <c r="F19" s="803">
        <f>IF(ISNUMBER((Datos!M19-Datos!W19)/Datos!W19),(Datos!M19-Datos!W19)/Datos!W19," - ")</f>
        <v>0.29811866859623731</v>
      </c>
      <c r="G19" s="804">
        <f>IF(ISNUMBER((Datos!N19-Datos!X19)/Datos!X19),(Datos!N19-Datos!X19)/Datos!X19," - ")</f>
        <v>0.12373120904535526</v>
      </c>
      <c r="H19" s="805">
        <f>IF(ISNUMBER((Tasas!B19-Datos!BD19)/Datos!BD19),(Tasas!B19-Datos!BD19)/Datos!BD19," - ")</f>
        <v>2.4959909356523529E-3</v>
      </c>
      <c r="I19" s="806">
        <f>IF(ISNUMBER((Tasas!C19-Datos!BE19)/Datos!BE19),(Tasas!C19-Datos!BE19)/Datos!BE19," - ")</f>
        <v>9.0162080173656248E-2</v>
      </c>
      <c r="J19" s="807">
        <f>IF(ISNUMBER((Tasas!D19-Datos!BF19)/Datos!BF19),(Tasas!D19-Datos!BF19)/Datos!BF19," - ")</f>
        <v>-0.30562016424638599</v>
      </c>
      <c r="K19" s="807">
        <f>IF(ISNUMBER((Tasas!E19-Datos!BG19)/Datos!BG19),(Tasas!E19-Datos!BG19)/Datos!BG19," - ")</f>
        <v>3.8049567346161904E-2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TTtPcYr/kv+Ydz/CiOi57rgE6iMHutSn3QATqEM7UF+6hMZrk+DO54Dc3OWtui/4YNrCwGrh8kWOmH7m0zSwA==" saltValue="SrRho3q/yOzhU6N445Y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SANTIAGO DE COMPOSTELA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0.83981491682273879</v>
      </c>
      <c r="C9" s="443">
        <f>IF(ISNUMBER(NºAsuntos!I9/NºAsuntos!G9),NºAsuntos!I9/NºAsuntos!G9," - ")</f>
        <v>0.89728453364816996</v>
      </c>
      <c r="D9" s="444">
        <f>IF(ISNUMBER('Resol  Asuntos'!D9/NºAsuntos!G9),'Resol  Asuntos'!D9/NºAsuntos!G9," - ")</f>
        <v>0.28492719401810312</v>
      </c>
      <c r="E9" s="445">
        <f>IF(ISNUMBER((NºAsuntos!C9+NºAsuntos!E9)/NºAsuntos!G9),(NºAsuntos!C9+NºAsuntos!E9)/NºAsuntos!G9," - ")</f>
        <v>1.8982028072937165</v>
      </c>
      <c r="G9" s="463"/>
    </row>
    <row r="10" spans="1:7">
      <c r="A10" s="402" t="str">
        <f>Datos!A10</f>
        <v>Jdos. Violencia contra la mujer</v>
      </c>
      <c r="B10" s="442">
        <f>IF(ISNUMBER(NºAsuntos!G10/NºAsuntos!E10),NºAsuntos!G10/NºAsuntos!E10," - ")</f>
        <v>1.2342342342342343</v>
      </c>
      <c r="C10" s="443">
        <f>IF(ISNUMBER(NºAsuntos!I10/NºAsuntos!G10),NºAsuntos!I10/NºAsuntos!G10," - ")</f>
        <v>0.65693430656934304</v>
      </c>
      <c r="D10" s="444">
        <f>IF(ISNUMBER('Resol  Asuntos'!D10/NºAsuntos!G10),'Resol  Asuntos'!D10/NºAsuntos!G10," - ")</f>
        <v>0.33576642335766421</v>
      </c>
      <c r="E10" s="445">
        <f>IF(ISNUMBER((NºAsuntos!C10+NºAsuntos!E10)/NºAsuntos!G10),(NºAsuntos!C10+NºAsuntos!E10)/NºAsuntos!G10," - ")</f>
        <v>1.6569343065693432</v>
      </c>
      <c r="G10" s="463"/>
    </row>
    <row r="11" spans="1:7">
      <c r="A11" s="402" t="str">
        <f>Datos!A11</f>
        <v xml:space="preserve">Jdos. Familia                                   </v>
      </c>
      <c r="B11" s="442">
        <f>IF(ISNUMBER(NºAsuntos!G11/NºAsuntos!E11),NºAsuntos!G11/NºAsuntos!E11," - ")</f>
        <v>1.0358874878758486</v>
      </c>
      <c r="C11" s="443">
        <f>IF(ISNUMBER(NºAsuntos!I11/NºAsuntos!G11),NºAsuntos!I11/NºAsuntos!G11," - ")</f>
        <v>0.42088014981273408</v>
      </c>
      <c r="D11" s="444">
        <f>IF(ISNUMBER('Resol  Asuntos'!D11/NºAsuntos!G11),'Resol  Asuntos'!D11/NºAsuntos!G11," - ")</f>
        <v>0.16760299625468164</v>
      </c>
      <c r="E11" s="445">
        <f>IF(ISNUMBER((NºAsuntos!C11+NºAsuntos!E11)/NºAsuntos!G11),(NºAsuntos!C11+NºAsuntos!E11)/NºAsuntos!G11," - ")</f>
        <v>1.4068352059925093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0.87964444444444445</v>
      </c>
      <c r="C13" s="859">
        <f>IF(ISNUMBER(NºAsuntos!I13/NºAsuntos!G13),NºAsuntos!I13/NºAsuntos!G13," - ")</f>
        <v>0.79112772837510104</v>
      </c>
      <c r="D13" s="860">
        <f>IF(ISNUMBER('Resol  Asuntos'!D13/NºAsuntos!G13),'Resol  Asuntos'!D13/NºAsuntos!G13," - ")</f>
        <v>0.26030719482619241</v>
      </c>
      <c r="E13" s="861">
        <f>IF(ISNUMBER((NºAsuntos!C13+NºAsuntos!E13)/NºAsuntos!G13),(NºAsuntos!C13+NºAsuntos!E13)/NºAsuntos!G13," - ")</f>
        <v>1.7889046079223929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0.88056528264132061</v>
      </c>
      <c r="C15" s="443">
        <f>IF(ISNUMBER(NºAsuntos!I15/NºAsuntos!G15),NºAsuntos!I15/NºAsuntos!G15," - ")</f>
        <v>0.44681153245277661</v>
      </c>
      <c r="D15" s="444">
        <f>IF(ISNUMBER('Resol  Asuntos'!D15/NºAsuntos!G15),'Resol  Asuntos'!D15/NºAsuntos!G15," - ")</f>
        <v>0.13336173838943333</v>
      </c>
      <c r="E15" s="445">
        <f>IF(ISNUMBER((NºAsuntos!C15+NºAsuntos!E15)/NºAsuntos!G15),(NºAsuntos!C15+NºAsuntos!E15)/NºAsuntos!G15," - ")</f>
        <v>1.4790512711262604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0.76352705410821642</v>
      </c>
      <c r="C17" s="443">
        <f>IF(ISNUMBER(NºAsuntos!I17/NºAsuntos!G17),NºAsuntos!I17/NºAsuntos!G17," - ")</f>
        <v>0.86876640419947504</v>
      </c>
      <c r="D17" s="444">
        <f>IF(ISNUMBER('Resol  Asuntos'!D17/NºAsuntos!G17),'Resol  Asuntos'!D17/NºAsuntos!G17," - ")</f>
        <v>0.19160104986876642</v>
      </c>
      <c r="E17" s="445">
        <f>IF(ISNUMBER((NºAsuntos!C17+NºAsuntos!E17)/NºAsuntos!G17),(NºAsuntos!C17+NºAsuntos!E17)/NºAsuntos!G17," - ")</f>
        <v>1.8687664041994752</v>
      </c>
      <c r="G17" s="463"/>
    </row>
    <row r="18" spans="1:7" ht="14.25" thickTop="1" thickBot="1">
      <c r="A18" s="848" t="str">
        <f>Datos!A18</f>
        <v>TOTAL</v>
      </c>
      <c r="B18" s="858">
        <f>IF(ISNUMBER(NºAsuntos!G18/NºAsuntos!E18),NºAsuntos!G18/NºAsuntos!E18," - ")</f>
        <v>0.87369040612124782</v>
      </c>
      <c r="C18" s="859">
        <f>IF(ISNUMBER(NºAsuntos!I18/NºAsuntos!G18),NºAsuntos!I18/NºAsuntos!G18," - ")</f>
        <v>0.46847210994341149</v>
      </c>
      <c r="D18" s="862">
        <f>IF(ISNUMBER('Resol  Asuntos'!D18/NºAsuntos!G18),'Resol  Asuntos'!D18/NºAsuntos!G18," - ")</f>
        <v>0.13635138776610078</v>
      </c>
      <c r="E18" s="861">
        <f>IF(ISNUMBER((NºAsuntos!C18+NºAsuntos!E18)/NºAsuntos!G18),(NºAsuntos!C18+NºAsuntos!E18)/NºAsuntos!G18," - ")</f>
        <v>1.4990568579897601</v>
      </c>
      <c r="G18" s="463"/>
    </row>
    <row r="19" spans="1:7" ht="15.75" customHeight="1" thickTop="1" thickBot="1">
      <c r="A19" s="793" t="str">
        <f>Datos!A19</f>
        <v>TOTAL JURISDICCIONES</v>
      </c>
      <c r="B19" s="808">
        <f>IF(ISNUMBER(NºAsuntos!G19/NºAsuntos!E19),NºAsuntos!G19/NºAsuntos!E19," - ")</f>
        <v>0.87708280577361353</v>
      </c>
      <c r="C19" s="809">
        <f>IF(ISNUMBER(NºAsuntos!I19/NºAsuntos!G19),NºAsuntos!I19/NºAsuntos!G19," - ")</f>
        <v>0.65284674904723405</v>
      </c>
      <c r="D19" s="810">
        <f>IF(ISNUMBER('Resol  Asuntos'!D19/NºAsuntos!G19),'Resol  Asuntos'!D19/NºAsuntos!G19," - ")</f>
        <v>0.20718327751472457</v>
      </c>
      <c r="E19" s="811">
        <f>IF(ISNUMBER((NºAsuntos!C19+NºAsuntos!E19)/NºAsuntos!G19),(NºAsuntos!C19+NºAsuntos!E19)/NºAsuntos!G19," - ")</f>
        <v>1.6646841436655504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WobCdrO77Lx9mpxYlF8lbX+o+cNP/dy3TcEnDZ1LhN7Ut0tPPNWdAVolQ3ikgKetairXF3y5pGctZnT8TEz3w==" saltValue="Fow1ywh1uMs85zmSxaYO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SANTIAGO DE COMPOSTELA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1545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1256</v>
      </c>
      <c r="Y9" s="334">
        <f>SUM(W9:X9)</f>
        <v>1256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5971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2172</v>
      </c>
      <c r="AJ9" s="229" t="str">
        <f>IF(ISNUMBER(Datos!BW9),Datos!BW9," - ")</f>
        <v xml:space="preserve"> - </v>
      </c>
      <c r="AK9" s="228" t="str">
        <f>IF(ISNUMBER(Datos!BX9),Datos!BX9," - ")</f>
        <v xml:space="preserve"> - </v>
      </c>
      <c r="AL9" s="243">
        <f>IF(ISNUMBER(NºAsuntos!G9/NºAsuntos!E9),NºAsuntos!G9/NºAsuntos!E9," - ")</f>
        <v>0.83981491682273879</v>
      </c>
      <c r="AM9" s="260">
        <f>IF(ISNUMBER(((NºAsuntos!I9/NºAsuntos!G9)*11)/factor_trimestre),((NºAsuntos!I9/NºAsuntos!G9)*11)/factor_trimestre," - ")</f>
        <v>9.870129870129869</v>
      </c>
      <c r="AN9" s="244">
        <f>IF(ISNUMBER('Resol  Asuntos'!D9/NºAsuntos!G9),'Resol  Asuntos'!D9/NºAsuntos!G9," - ")</f>
        <v>0.28492719401810312</v>
      </c>
      <c r="AO9" s="245">
        <f>IF(ISNUMBER((NºAsuntos!C9+NºAsuntos!E9)/NºAsuntos!G9),(NºAsuntos!C9+NºAsuntos!E9)/NºAsuntos!G9," - ")</f>
        <v>1.8982028072937165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137</v>
      </c>
      <c r="X10" s="226">
        <f>IF(ISNUMBER(Datos!Q10),Datos!Q10," - ")</f>
        <v>26</v>
      </c>
      <c r="Y10" s="334">
        <f t="shared" ref="Y10:Y12" si="0">SUM(W10:X10)</f>
        <v>163</v>
      </c>
      <c r="Z10" s="335" t="str">
        <f>IF(ISNUMBER(Datos!CC10),Datos!CC10," - ")</f>
        <v xml:space="preserve"> - </v>
      </c>
      <c r="AA10" s="332">
        <f>IF(ISNUMBER(Datos!L10),Datos!L10,"-")</f>
        <v>90</v>
      </c>
      <c r="AB10" s="334">
        <f>IF(ISNUMBER(Datos!R10),Datos!R10," - ")</f>
        <v>48</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1.2342342342342343</v>
      </c>
      <c r="AM10" s="260">
        <f>IF(ISNUMBER(((NºAsuntos!I10/NºAsuntos!G10)*11)/factor_trimestre),((NºAsuntos!I10/NºAsuntos!G10)*11)/factor_trimestre," - ")</f>
        <v>7.2262773722627731</v>
      </c>
      <c r="AN10" s="244">
        <f>IF(ISNUMBER('Resol  Asuntos'!D10/NºAsuntos!G10),'Resol  Asuntos'!D10/NºAsuntos!G10," - ")</f>
        <v>0.33576642335766421</v>
      </c>
      <c r="AO10" s="245">
        <f>IF(ISNUMBER((NºAsuntos!C10+NºAsuntos!E10)/NºAsuntos!G10),(NºAsuntos!C10+NºAsuntos!E10)/NºAsuntos!G10," - ")</f>
        <v>1.6569343065693432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140</v>
      </c>
      <c r="Y11" s="334">
        <f t="shared" si="0"/>
        <v>140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358</v>
      </c>
      <c r="AJ11" s="231" t="str">
        <f>IF(ISNUMBER(Datos!BW11),Datos!BW11," - ")</f>
        <v xml:space="preserve"> - </v>
      </c>
      <c r="AK11" s="232" t="str">
        <f>IF(ISNUMBER(Datos!BX11),Datos!BX11," - ")</f>
        <v xml:space="preserve"> - </v>
      </c>
      <c r="AL11" s="243">
        <f>IF(ISNUMBER(NºAsuntos!G11/NºAsuntos!E11),NºAsuntos!G11/NºAsuntos!E11," - ")</f>
        <v>1.0358874878758486</v>
      </c>
      <c r="AM11" s="260">
        <f>IF(ISNUMBER(((NºAsuntos!I11/NºAsuntos!G11)*11)/factor_trimestre),((NºAsuntos!I11/NºAsuntos!G11)*11)/factor_trimestre," - ")</f>
        <v>4.6296816479400746</v>
      </c>
      <c r="AN11" s="244">
        <f>IF(ISNUMBER('Resol  Asuntos'!D11/NºAsuntos!G11),'Resol  Asuntos'!D11/NºAsuntos!G11," - ")</f>
        <v>0.16760299625468164</v>
      </c>
      <c r="AO11" s="245">
        <f>IF(ISNUMBER((NºAsuntos!C11+NºAsuntos!E11)/NºAsuntos!G11),(NºAsuntos!C11+NºAsuntos!E11)/NºAsuntos!G11," - ")</f>
        <v>1.4068352059925093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116</v>
      </c>
      <c r="G13" s="866">
        <f t="shared" si="3"/>
        <v>116</v>
      </c>
      <c r="H13" s="865">
        <f t="shared" si="3"/>
        <v>0</v>
      </c>
      <c r="I13" s="867">
        <f t="shared" si="3"/>
        <v>0</v>
      </c>
      <c r="J13" s="867">
        <f t="shared" si="3"/>
        <v>0</v>
      </c>
      <c r="K13" s="867">
        <f t="shared" si="3"/>
        <v>0</v>
      </c>
      <c r="L13" s="867">
        <f t="shared" si="3"/>
        <v>1688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137</v>
      </c>
      <c r="X13" s="867">
        <f t="shared" si="4"/>
        <v>1424</v>
      </c>
      <c r="Y13" s="868">
        <f t="shared" si="4"/>
        <v>1561</v>
      </c>
      <c r="Z13" s="868">
        <f t="shared" si="4"/>
        <v>0</v>
      </c>
      <c r="AA13" s="868">
        <f t="shared" si="4"/>
        <v>90</v>
      </c>
      <c r="AB13" s="868">
        <f t="shared" si="4"/>
        <v>6496</v>
      </c>
      <c r="AC13" s="868">
        <f t="shared" si="4"/>
        <v>138</v>
      </c>
      <c r="AD13" s="868">
        <f t="shared" si="4"/>
        <v>0</v>
      </c>
      <c r="AE13" s="872">
        <f t="shared" si="4"/>
        <v>0</v>
      </c>
      <c r="AF13" s="865">
        <f t="shared" si="4"/>
        <v>0</v>
      </c>
      <c r="AG13" s="873">
        <f t="shared" si="4"/>
        <v>0</v>
      </c>
      <c r="AH13" s="870">
        <f t="shared" si="4"/>
        <v>0</v>
      </c>
      <c r="AI13" s="865">
        <f t="shared" si="4"/>
        <v>2576</v>
      </c>
      <c r="AJ13" s="867">
        <f t="shared" si="4"/>
        <v>0</v>
      </c>
      <c r="AK13" s="870">
        <f>SUBTOTAL(9,AK9:AK12)</f>
        <v>0</v>
      </c>
      <c r="AL13" s="874">
        <f>IF(ISNUMBER(NºAsuntos!G13/NºAsuntos!E13),NºAsuntos!G13/NºAsuntos!E13," - ")</f>
        <v>0.87964444444444445</v>
      </c>
      <c r="AM13" s="874">
        <f>IF(ISNUMBER(((NºAsuntos!I13/NºAsuntos!G13)*11)/factor_trimestre),((NºAsuntos!I13/NºAsuntos!G13)*11)/factor_trimestre," - ")</f>
        <v>8.7024050121261105</v>
      </c>
      <c r="AN13" s="875">
        <f>IF(ISNUMBER('Resol  Asuntos'!D13/NºAsuntos!G13),'Resol  Asuntos'!D13/NºAsuntos!G13," - ")</f>
        <v>0.26030719482619241</v>
      </c>
      <c r="AO13" s="876">
        <f>IF(ISNUMBER((NºAsuntos!C13+NºAsuntos!E13)/NºAsuntos!G13),(NºAsuntos!C13+NºAsuntos!E13)/NºAsuntos!G13," - ")</f>
        <v>1.7889046079223929</v>
      </c>
      <c r="AP13" s="877" t="str">
        <f t="shared" si="2"/>
        <v xml:space="preserve"> - </v>
      </c>
      <c r="AQ13" s="877">
        <f>IF(ISNUMBER((H13-W13+K13)/(F13)),(H13-W13+K13)/(F13)," - ")</f>
        <v>-1.1810344827586208</v>
      </c>
      <c r="AR13" s="878">
        <f>IF(ISNUMBER((Datos!P13-Datos!Q13)/(Datos!R13-Datos!P13+Datos!Q13)),(Datos!P13-Datos!Q13)/(Datos!R13-Datos!P13+Datos!Q13)," - ")</f>
        <v>4.2362002567394093E-2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2191</v>
      </c>
      <c r="G15" s="333">
        <f>IF(ISNUMBER(IF(D_I="SI",Datos!I15,Datos!I15+Datos!AC15)),IF(D_I="SI",Datos!I15,Datos!I15+Datos!AC15)," - ")</f>
        <v>2418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7041</v>
      </c>
      <c r="X15" s="226">
        <f>IF(ISNUMBER(Datos!Q15),Datos!Q15," - ")</f>
        <v>299</v>
      </c>
      <c r="Y15" s="334">
        <f>SUM(W15)</f>
        <v>7041</v>
      </c>
      <c r="Z15" s="335" t="str">
        <f>IF(ISNUMBER(Datos!CC15),Datos!CC15," - ")</f>
        <v xml:space="preserve"> - </v>
      </c>
      <c r="AA15" s="332">
        <f>IF(ISNUMBER(IF(D_I="SI",Datos!L15,Datos!L15+Datos!AF15)),IF(D_I="SI",Datos!L15,Datos!L15+Datos!AF15)," - ")</f>
        <v>3146</v>
      </c>
      <c r="AB15" s="334">
        <f>IF(ISNUMBER(Datos!R15),Datos!R15," - ")</f>
        <v>322</v>
      </c>
      <c r="AC15" s="334">
        <f t="shared" ref="AC15:AC17" si="6">IF(ISNUMBER(AA15+AB15),AA15+AB15," - ")</f>
        <v>3468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939</v>
      </c>
      <c r="AJ15" s="231" t="str">
        <f>IF(ISNUMBER(Datos!BW15),Datos!BW15," - ")</f>
        <v xml:space="preserve"> - </v>
      </c>
      <c r="AK15" s="232" t="str">
        <f>IF(ISNUMBER(Datos!BX15),Datos!BX15," - ")</f>
        <v xml:space="preserve"> - </v>
      </c>
      <c r="AL15" s="243">
        <f>IF(ISNUMBER(NºAsuntos!G15/NºAsuntos!E15),NºAsuntos!G15/NºAsuntos!E15," - ")</f>
        <v>0.88056528264132061</v>
      </c>
      <c r="AM15" s="260">
        <f>IF(ISNUMBER(((NºAsuntos!I15/NºAsuntos!G15)*11)/factor_trimestre),((NºAsuntos!I15/NºAsuntos!G15)*11)/factor_trimestre," - ")</f>
        <v>4.9149268569805429</v>
      </c>
      <c r="AN15" s="244">
        <f>IF(ISNUMBER('Resol  Asuntos'!D15/NºAsuntos!G15),'Resol  Asuntos'!D15/NºAsuntos!G15," - ")</f>
        <v>0.13336173838943333</v>
      </c>
      <c r="AO15" s="245">
        <f>IF(ISNUMBER((NºAsuntos!C15+NºAsuntos!E15)/NºAsuntos!G15),(NºAsuntos!C15+NºAsuntos!E15)/NºAsuntos!G15," - ")</f>
        <v>1.4790512711262604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381</v>
      </c>
      <c r="X17" s="226">
        <f>IF(ISNUMBER(Datos!Q17),Datos!Q17," - ")</f>
        <v>8</v>
      </c>
      <c r="Y17" s="334">
        <f t="shared" si="7"/>
        <v>389</v>
      </c>
      <c r="Z17" s="335" t="str">
        <f>IF(ISNUMBER(Datos!CC17),Datos!CC17," - ")</f>
        <v xml:space="preserve"> - </v>
      </c>
      <c r="AA17" s="332">
        <f>IF(ISNUMBER(Datos!L17),Datos!L17,"-")</f>
        <v>331</v>
      </c>
      <c r="AB17" s="334">
        <f>IF(ISNUMBER(Datos!R17),Datos!R17," - ")</f>
        <v>2</v>
      </c>
      <c r="AC17" s="334">
        <f t="shared" si="6"/>
        <v>333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73</v>
      </c>
      <c r="AJ17" s="231" t="str">
        <f>IF(ISNUMBER(Datos!BW17),Datos!BW17," - ")</f>
        <v xml:space="preserve"> - </v>
      </c>
      <c r="AK17" s="232" t="str">
        <f>IF(ISNUMBER(Datos!BX17),Datos!BX17," - ")</f>
        <v xml:space="preserve"> - </v>
      </c>
      <c r="AL17" s="243">
        <f>IF(ISNUMBER(NºAsuntos!G17/NºAsuntos!E17),NºAsuntos!G17/NºAsuntos!E17," - ")</f>
        <v>0.76352705410821642</v>
      </c>
      <c r="AM17" s="260">
        <f>IF(ISNUMBER(((NºAsuntos!I17/NºAsuntos!G17)*11)/factor_trimestre),((NºAsuntos!I17/NºAsuntos!G17)*11)/factor_trimestre," - ")</f>
        <v>9.5564304461942253</v>
      </c>
      <c r="AN17" s="244">
        <f>IF(ISNUMBER('Resol  Asuntos'!D17/NºAsuntos!G17),'Resol  Asuntos'!D17/NºAsuntos!G17," - ")</f>
        <v>0.19160104986876642</v>
      </c>
      <c r="AO17" s="245">
        <f>IF(ISNUMBER((NºAsuntos!C17+NºAsuntos!E17)/NºAsuntos!G17),(NºAsuntos!C17+NºAsuntos!E17)/NºAsuntos!G17," - ")</f>
        <v>1.8687664041994752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2191</v>
      </c>
      <c r="G18" s="866">
        <f>SUBTOTAL(9,G15:G17)</f>
        <v>2631</v>
      </c>
      <c r="H18" s="865">
        <f t="shared" ref="H18:O18" si="10">SUBTOTAL(9,H14:H17)</f>
        <v>0</v>
      </c>
      <c r="I18" s="867">
        <f t="shared" si="10"/>
        <v>0</v>
      </c>
      <c r="J18" s="867">
        <f t="shared" si="10"/>
        <v>0</v>
      </c>
      <c r="K18" s="867">
        <f t="shared" si="10"/>
        <v>0</v>
      </c>
      <c r="L18" s="867">
        <f t="shared" si="10"/>
        <v>339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7422</v>
      </c>
      <c r="X18" s="867">
        <f t="shared" si="11"/>
        <v>307</v>
      </c>
      <c r="Y18" s="868">
        <f t="shared" si="11"/>
        <v>7430</v>
      </c>
      <c r="Z18" s="868">
        <f t="shared" si="11"/>
        <v>0</v>
      </c>
      <c r="AA18" s="868">
        <f t="shared" si="11"/>
        <v>3477</v>
      </c>
      <c r="AB18" s="868">
        <f t="shared" si="11"/>
        <v>324</v>
      </c>
      <c r="AC18" s="868">
        <f t="shared" si="11"/>
        <v>3801</v>
      </c>
      <c r="AD18" s="868">
        <f t="shared" si="11"/>
        <v>0</v>
      </c>
      <c r="AE18" s="872">
        <f t="shared" si="11"/>
        <v>0</v>
      </c>
      <c r="AF18" s="865">
        <f t="shared" si="11"/>
        <v>0</v>
      </c>
      <c r="AG18" s="873">
        <f t="shared" si="11"/>
        <v>0</v>
      </c>
      <c r="AH18" s="870">
        <f t="shared" si="11"/>
        <v>0</v>
      </c>
      <c r="AI18" s="865">
        <f t="shared" si="11"/>
        <v>1012</v>
      </c>
      <c r="AJ18" s="867">
        <f t="shared" si="11"/>
        <v>0</v>
      </c>
      <c r="AK18" s="870">
        <f t="shared" si="11"/>
        <v>0</v>
      </c>
      <c r="AL18" s="874">
        <f>IF(ISNUMBER(NºAsuntos!G18/NºAsuntos!E18),NºAsuntos!G18/NºAsuntos!E18," - ")</f>
        <v>0.87369040612124782</v>
      </c>
      <c r="AM18" s="874">
        <f>IF(ISNUMBER(((NºAsuntos!I18/NºAsuntos!G18)*11)/factor_trimestre),((NºAsuntos!I18/NºAsuntos!G18)*11)/factor_trimestre," - ")</f>
        <v>5.1531932093775268</v>
      </c>
      <c r="AN18" s="875">
        <f>IF(ISNUMBER('Resol  Asuntos'!D18/NºAsuntos!G18),'Resol  Asuntos'!D18/NºAsuntos!G18," - ")</f>
        <v>0.13635138776610078</v>
      </c>
      <c r="AO18" s="876">
        <f>IF(ISNUMBER((NºAsuntos!C18+NºAsuntos!E18)/NºAsuntos!G18),(NºAsuntos!C18+NºAsuntos!E18)/NºAsuntos!G18," - ")</f>
        <v>1.4990568579897601</v>
      </c>
      <c r="AP18" s="877" t="str">
        <f t="shared" si="2"/>
        <v xml:space="preserve"> - </v>
      </c>
      <c r="AQ18" s="877">
        <f>IF(ISNUMBER((H18-W18+K18)/(F18)),(H18-W18+K18)/(F18)," - ")</f>
        <v>-3.3874942948425377</v>
      </c>
      <c r="AR18" s="878">
        <f>IF(ISNUMBER((Datos!P18-Datos!Q18)/(Datos!R18-Datos!P18+Datos!Q18)),(Datos!P18-Datos!Q18)/(Datos!R18-Datos!P18+Datos!Q18)," - ")</f>
        <v>0.1095890410958904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2307</v>
      </c>
      <c r="G19" s="821">
        <f t="shared" si="13"/>
        <v>2747</v>
      </c>
      <c r="H19" s="820">
        <f t="shared" si="13"/>
        <v>0</v>
      </c>
      <c r="I19" s="822">
        <f t="shared" si="13"/>
        <v>0</v>
      </c>
      <c r="J19" s="822">
        <f t="shared" si="13"/>
        <v>0</v>
      </c>
      <c r="K19" s="881">
        <f t="shared" si="13"/>
        <v>0</v>
      </c>
      <c r="L19" s="822">
        <f t="shared" si="13"/>
        <v>2027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7559</v>
      </c>
      <c r="X19" s="821">
        <f t="shared" si="14"/>
        <v>1731</v>
      </c>
      <c r="Y19" s="828">
        <f t="shared" si="14"/>
        <v>8991</v>
      </c>
      <c r="Z19" s="828">
        <f t="shared" si="14"/>
        <v>0</v>
      </c>
      <c r="AA19" s="828">
        <f t="shared" si="14"/>
        <v>3567</v>
      </c>
      <c r="AB19" s="828">
        <f t="shared" si="14"/>
        <v>6820</v>
      </c>
      <c r="AC19" s="828">
        <f t="shared" si="14"/>
        <v>3939</v>
      </c>
      <c r="AD19" s="828">
        <f t="shared" si="14"/>
        <v>0</v>
      </c>
      <c r="AE19" s="830">
        <f t="shared" si="14"/>
        <v>0</v>
      </c>
      <c r="AF19" s="831">
        <f t="shared" si="14"/>
        <v>0</v>
      </c>
      <c r="AG19" s="832">
        <f t="shared" si="14"/>
        <v>0</v>
      </c>
      <c r="AH19" s="830">
        <f t="shared" si="14"/>
        <v>0</v>
      </c>
      <c r="AI19" s="820">
        <f t="shared" si="14"/>
        <v>3588</v>
      </c>
      <c r="AJ19" s="820">
        <f t="shared" si="14"/>
        <v>0</v>
      </c>
      <c r="AK19" s="830">
        <f t="shared" si="14"/>
        <v>0</v>
      </c>
      <c r="AL19" s="884">
        <f>IF(ISNUMBER(NºAsuntos!G19/NºAsuntos!E19),NºAsuntos!G19/NºAsuntos!E19," - ")</f>
        <v>0.87708280577361353</v>
      </c>
      <c r="AM19" s="885">
        <f>IF(ISNUMBER(((NºAsuntos!I19/NºAsuntos!G19)*11)/factor_trimestre),((NºAsuntos!I19/NºAsuntos!G19)*11)/factor_trimestre," - ")</f>
        <v>7.1813142395195744</v>
      </c>
      <c r="AN19" s="885">
        <f>IF(ISNUMBER('Resol  Asuntos'!D19/NºAsuntos!G19),'Resol  Asuntos'!D19/NºAsuntos!G19," - ")</f>
        <v>0.20718327751472457</v>
      </c>
      <c r="AO19" s="886">
        <f>IF(ISNUMBER((NºAsuntos!C19+NºAsuntos!E19)/NºAsuntos!G19),(NºAsuntos!C19+NºAsuntos!E19)/NºAsuntos!G19," - ")</f>
        <v>1.6646841436655504</v>
      </c>
      <c r="AP19" s="887" t="str">
        <f t="shared" si="2"/>
        <v xml:space="preserve"> - </v>
      </c>
      <c r="AQ19" s="888">
        <f>IF(OR(ISNUMBER(FIND("01",Criterios!A8,1)),ISNUMBER(FIND("02",Criterios!A8,1)),ISNUMBER(FIND("03",Criterios!A8,1)),ISNUMBER(FIND("04",Criterios!A8,1))),(I19-W19+K19)/(F19-K19),(H19-W19+K19)/(F19-K19))</f>
        <v>-3.2765496315561333</v>
      </c>
      <c r="AR19" s="889">
        <f>IF(ISNUMBER((Datos!P19-Datos!Q19)/(Datos!R19-Datos!P19+Datos!Q19)),(Datos!P19-Datos!Q19)/(Datos!R19-Datos!P19+Datos!Q19)," - ")</f>
        <v>4.5370938074800735E-2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1198.0018085684735</v>
      </c>
      <c r="G21" s="253">
        <f>IF(ISNUMBER(STDEV(G8:G18)),STDEV(G8:G18),"-")</f>
        <v>1304.2582949707469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3844.9212995846874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996.99276398004588</v>
      </c>
      <c r="AJ21" s="252">
        <f t="shared" si="18"/>
        <v>0</v>
      </c>
      <c r="AK21" s="254">
        <f t="shared" si="18"/>
        <v>0</v>
      </c>
      <c r="AL21" s="249">
        <f t="shared" si="18"/>
        <v>0.15693229493192734</v>
      </c>
      <c r="AM21" s="250">
        <f t="shared" si="18"/>
        <v>2.2708510206280099</v>
      </c>
      <c r="AN21" s="250">
        <f t="shared" si="18"/>
        <v>7.8706231168799018E-2</v>
      </c>
      <c r="AO21" s="251">
        <f t="shared" si="18"/>
        <v>0.19984019523301616</v>
      </c>
      <c r="AP21" s="291" t="str">
        <f t="shared" si="18"/>
        <v>-</v>
      </c>
      <c r="AQ21" s="292">
        <f t="shared" si="18"/>
        <v>1.5602026955401336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jPT5DzlZN3yYdtSJKAJKhgiAZyMUZJthT+HVpONVHTUajXec9QDpZEzNQVLHMNFtbDJLwXgHnFkUyGXxVI+Cg==" saltValue="RnbobuoHaCv/UAwYFd4X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SANTIAGO DE COMPOSTELA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0.42239685658153242</v>
      </c>
      <c r="I9" s="350">
        <f>IF(ISNUMBER((Tasas!C9-Datos!BE9)/Datos!BE9),(Tasas!C9-Datos!BE9)/Datos!BE9," - ")</f>
        <v>-4.9474032870017615E-2</v>
      </c>
      <c r="J9" s="349">
        <f>IF(ISNUMBER((Tasas!D9-Datos!BF9)/Datos!BF9),(Tasas!D9-Datos!BF9)/Datos!BF9," - ")</f>
        <v>-0.2372122495663434</v>
      </c>
      <c r="K9" s="351">
        <f>IF(ISNUMBER((Tasas!E9-Datos!BG9)/Datos!BG9),(Tasas!E9-Datos!BG9)/Datos!BG9," - ")</f>
        <v>-3.1054982302626662E-2</v>
      </c>
      <c r="M9" t="e">
        <f>IF(Monitorios="SI",Datos!CE9,0)</f>
        <v>#REF!</v>
      </c>
      <c r="N9" t="e">
        <f>IF(Monitorios="SI",Datos!CF9,0)</f>
        <v>#REF!</v>
      </c>
      <c r="O9" t="e">
        <f>IF(Monitorios="SI",Datos!CG9,0)</f>
        <v>#REF!</v>
      </c>
      <c r="P9" t="e">
        <f>IF(Monitorios="SI",Datos!CH9,0)</f>
        <v>#REF!</v>
      </c>
      <c r="Q9">
        <f>IF(J_V="SI",0,Datos!AG9)</f>
        <v>117</v>
      </c>
      <c r="R9">
        <f>IF(J_V="SI",0,Datos!AH9)</f>
        <v>341</v>
      </c>
      <c r="S9">
        <f>IF(J_V="SI",0,Datos!AI9)</f>
        <v>337</v>
      </c>
      <c r="T9">
        <f>IF(J_V="SI",0,Datos!AJ9)</f>
        <v>121</v>
      </c>
    </row>
    <row r="10" spans="2:20" ht="14.25">
      <c r="B10" s="275" t="s">
        <v>242</v>
      </c>
      <c r="C10" s="7" t="str">
        <f>Datos!A10</f>
        <v>Jdos. Violencia contra la mujer</v>
      </c>
      <c r="D10" s="352">
        <f>IF(ISNUMBER((Datos!I10-Datos!S10)/Datos!S10),(Datos!I10-Datos!S10)/Datos!S10," - ")</f>
        <v>0.54666666666666663</v>
      </c>
      <c r="E10" s="348">
        <f>IF(ISNUMBER((Datos!J10-Datos!T10)/Datos!T10),(Datos!J10-Datos!T10)/Datos!T10," - ")</f>
        <v>-9.7560975609756101E-2</v>
      </c>
      <c r="F10" s="348">
        <f>IF(ISNUMBER((Datos!K10-Datos!U10)/Datos!U10),(Datos!K10-Datos!U10)/Datos!U10," - ")</f>
        <v>0.67073170731707321</v>
      </c>
      <c r="G10" s="349">
        <f>IF(ISNUMBER((Datos!L10-Datos!V10)/Datos!V10),(Datos!L10-Datos!V10)/Datos!V10," - ")</f>
        <v>-0.22413793103448276</v>
      </c>
      <c r="H10" s="230">
        <f>IF(ISNUMBER((Datos!M10-Datos!W10)/Datos!W10),(Datos!M10-Datos!W10)/Datos!W10," - ")</f>
        <v>0.31428571428571428</v>
      </c>
      <c r="I10" s="350">
        <f>IF(ISNUMBER((Tasas!C10-Datos!BE10)/Datos!BE10),(Tasas!C10-Datos!BE10)/Datos!BE10," - ")</f>
        <v>-0.53561540397684371</v>
      </c>
      <c r="J10" s="349">
        <f>IF(ISNUMBER((Tasas!D10-Datos!BF10)/Datos!BF10),(Tasas!D10-Datos!BF10)/Datos!BF10," - ")</f>
        <v>-0.21334723670490097</v>
      </c>
      <c r="K10" s="351">
        <f>IF(ISNUMBER((Tasas!E10-Datos!BG10)/Datos!BG10),(Tasas!E10-Datos!BG10)/Datos!BG10," - ")</f>
        <v>-0.31379488313794879</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0.10835913312693499</v>
      </c>
      <c r="I11" s="350">
        <f>IF(ISNUMBER((Tasas!C11-Datos!BE11)/Datos!BE11),(Tasas!C11-Datos!BE11)/Datos!BE11," - ")</f>
        <v>-0.23322152982155134</v>
      </c>
      <c r="J11" s="349">
        <f>IF(ISNUMBER((Tasas!D11-Datos!BF11)/Datos!BF11),(Tasas!D11-Datos!BF11)/Datos!BF11," - ")</f>
        <v>-0.80478512029454707</v>
      </c>
      <c r="K11" s="351">
        <f>IF(ISNUMBER((Tasas!E11-Datos!BG11)/Datos!BG11),(Tasas!E11-Datos!BG11)/Datos!BG11," - ")</f>
        <v>-9.1716315710210022E-2</v>
      </c>
      <c r="M11" t="e">
        <f>IF(Monitorios="SI",Datos!CE11,0)</f>
        <v>#REF!</v>
      </c>
      <c r="N11" t="e">
        <f>IF(Monitorios="SI",Datos!CF11,0)</f>
        <v>#REF!</v>
      </c>
      <c r="O11" t="e">
        <f>IF(Monitorios="SI",Datos!CG11,0)</f>
        <v>#REF!</v>
      </c>
      <c r="P11" t="e">
        <f>IF(Monitorios="SI",Datos!CH11,0)</f>
        <v>#REF!</v>
      </c>
      <c r="Q11">
        <f>IF(J_V="SI",0,Datos!AG11)</f>
        <v>147</v>
      </c>
      <c r="R11">
        <f>IF(J_V="SI",0,Datos!AH11)</f>
        <v>810</v>
      </c>
      <c r="S11">
        <f>IF(J_V="SI",0,Datos!AI11)</f>
        <v>768</v>
      </c>
      <c r="T11">
        <f>IF(J_V="SI",0,Datos!AJ11)</f>
        <v>189</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3</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0.36657824933687</v>
      </c>
      <c r="I13" s="357">
        <f>IF(ISNUMBER((Tasas!C13-Datos!BE13)/Datos!BE13),(Tasas!C13-Datos!BE13)/Datos!BE13," - ")</f>
        <v>-7.8550130719470146E-2</v>
      </c>
      <c r="J13" s="355">
        <f>IF(ISNUMBER((Tasas!D13-Datos!BF13)/Datos!BF13),(Tasas!D13-Datos!BF13)/Datos!BF13," - ")</f>
        <v>-0.4635402039172849</v>
      </c>
      <c r="K13" s="358">
        <f>IF(ISNUMBER((Tasas!E13-Datos!BG13)/Datos!BG13),(Tasas!E13-Datos!BG13)/Datos!BG13," - ")</f>
        <v>-4.3371964913219131E-2</v>
      </c>
      <c r="M13" t="e">
        <f>IF(Monitorios="SI",Datos!CE13,0)</f>
        <v>#REF!</v>
      </c>
      <c r="N13" t="e">
        <f>IF(Monitorios="SI",Datos!CF13,0)</f>
        <v>#REF!</v>
      </c>
      <c r="O13" t="e">
        <f>IF(Monitorios="SI",Datos!CG13,0)</f>
        <v>#REF!</v>
      </c>
      <c r="P13" t="e">
        <f>IF(Monitorios="SI",Datos!CH13,0)</f>
        <v>#REF!</v>
      </c>
      <c r="Q13">
        <f>IF(J_V="SI",0,Datos!AG13)</f>
        <v>264</v>
      </c>
      <c r="R13">
        <f>IF(J_V="SI",0,Datos!AH13)</f>
        <v>1154</v>
      </c>
      <c r="S13">
        <f>IF(J_V="SI",0,Datos!AI13)</f>
        <v>1108</v>
      </c>
      <c r="T13">
        <f>IF(J_V="SI",0,Datos!AJ13)</f>
        <v>310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0.18996062992125984</v>
      </c>
      <c r="E15" s="348">
        <f>IF(ISNUMBER(
   IF(D_I="SI",(Datos!J15-Datos!T15)/Datos!T15,(Datos!J15+Datos!AD15-(Datos!T15+Datos!AL15))/(Datos!T15+Datos!AL15))
     ),IF(D_I="SI",(Datos!J15-Datos!T15)/Datos!T15,(Datos!J15+Datos!AD15-(Datos!T15+Datos!AL15))/(Datos!T15+Datos!AL15))," - ")</f>
        <v>6.9985280342566569E-2</v>
      </c>
      <c r="F15" s="348">
        <f>IF(ISNUMBER(
   IF(D_I="SI",(Datos!K15-Datos!U15)/Datos!U15,(Datos!K15+Datos!AE15-(Datos!U15+Datos!AM15))/(Datos!U15+Datos!AM15))
     ),IF(D_I="SI",(Datos!K15-Datos!U15)/Datos!U15,(Datos!K15+Datos!AE15-(Datos!U15+Datos!AM15))/(Datos!U15+Datos!AM15))," - ")</f>
        <v>-8.1701648119453449E-3</v>
      </c>
      <c r="G15" s="349">
        <f>IF(ISNUMBER(
   IF(D_I="SI",(Datos!L15-Datos!V15)/Datos!V15,(Datos!L15+Datos!AF15-(Datos!V15+Datos!AN15))/(Datos!V15+Datos!AN15))
     ),IF(D_I="SI",(Datos!L15-Datos!V15)/Datos!V15,(Datos!L15+Datos!AF15-(Datos!V15+Datos!AN15))/(Datos!V15+Datos!AN15))," - ")</f>
        <v>0.30107526881720431</v>
      </c>
      <c r="H15" s="230">
        <f>IF(ISNUMBER((Datos!M15-Datos!W15)/Datos!W15),(Datos!M15-Datos!W15)/Datos!W15," - ")</f>
        <v>0.16936488169364883</v>
      </c>
      <c r="I15" s="350">
        <f>IF(ISNUMBER((Tasas!C15-Datos!BE15)/Datos!BE15),(Tasas!C15-Datos!BE15)/Datos!BE15," - ")</f>
        <v>0.31179283245751072</v>
      </c>
      <c r="J15" s="349">
        <f>IF(ISNUMBER((Tasas!D15-Datos!BF15)/Datos!BF15),(Tasas!D15-Datos!BF15)/Datos!BF15," - ")</f>
        <v>0.17899748546274868</v>
      </c>
      <c r="K15" s="351">
        <f>IF(ISNUMBER((Tasas!E15-Datos!BG15)/Datos!BG15),(Tasas!E15-Datos!BG15)/Datos!BG15," - ")</f>
        <v>0.10465912401108088</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0.12698412698412698</v>
      </c>
      <c r="E17" s="348">
        <f>IF(ISNUMBER(
   IF(D_I="SI",(Datos!J17-Datos!T17)/Datos!T17,(Datos!J17+Datos!AD17-(Datos!T17+Datos!AL17))/(Datos!T17+Datos!AL17))
     ),IF(D_I="SI",(Datos!J17-Datos!T17)/Datos!T17,(Datos!J17+Datos!AD17-(Datos!T17+Datos!AL17))/(Datos!T17+Datos!AL17))," - ")</f>
        <v>-0.13518197573656845</v>
      </c>
      <c r="F17" s="348">
        <f>IF(ISNUMBER(
   IF(D_I="SI",(Datos!K17-Datos!U17)/Datos!U17,(Datos!K17+Datos!AE17-(Datos!U17+Datos!AM17))/(Datos!U17+Datos!AM17))
     ),IF(D_I="SI",(Datos!K17-Datos!U17)/Datos!U17,(Datos!K17+Datos!AE17-(Datos!U17+Datos!AM17))/(Datos!U17+Datos!AM17))," - ")</f>
        <v>-0.31227436823104693</v>
      </c>
      <c r="G17" s="349">
        <f>IF(ISNUMBER(
   IF(D_I="SI",(Datos!L17-Datos!V17)/Datos!V17,(Datos!L17+Datos!AF17-(Datos!V17+Datos!AN17))/(Datos!V17+Datos!AN17))
     ),IF(D_I="SI",(Datos!L17-Datos!V17)/Datos!V17,(Datos!L17+Datos!AF17-(Datos!V17+Datos!AN17))/(Datos!V17+Datos!AN17))," - ")</f>
        <v>0.5539906103286385</v>
      </c>
      <c r="H17" s="230">
        <f>IF(ISNUMBER((Datos!M17-Datos!W17)/Datos!W17),(Datos!M17-Datos!W17)/Datos!W17," - ")</f>
        <v>-3.9473684210526314E-2</v>
      </c>
      <c r="I17" s="350">
        <f>IF(ISNUMBER((Tasas!C17-Datos!BE17)/Datos!BE17),(Tasas!C17-Datos!BE17)/Datos!BE17," - ")</f>
        <v>1.2596083940211698</v>
      </c>
      <c r="J17" s="349">
        <f>IF(ISNUMBER((Tasas!D17-Datos!BF17)/Datos!BF17),(Tasas!D17-Datos!BF17)/Datos!BF17," - ")</f>
        <v>0.39667081088548145</v>
      </c>
      <c r="K17" s="351">
        <f>IF(ISNUMBER((Tasas!E17-Datos!BG17)/Datos!BG17),(Tasas!E17-Datos!BG17)/Datos!BG17," - ")</f>
        <v>0.35156212523042968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0.18460153084196307</v>
      </c>
      <c r="E18" s="354">
        <f>IF(ISNUMBER(
   IF(D_I="SI",(Datos!J18-Datos!T18)/Datos!T18,(Datos!J18+Datos!AD18-(Datos!T18+Datos!AL18))/(Datos!T18+Datos!AL18))
     ),IF(D_I="SI",(Datos!J18-Datos!T18)/Datos!T18,(Datos!J18+Datos!AD18-(Datos!T18+Datos!AL18))/(Datos!T18+Datos!AL18))," - ")</f>
        <v>5.5279503105590065E-2</v>
      </c>
      <c r="F18" s="354">
        <f>IF(ISNUMBER(
   IF(D_I="SI",(Datos!K18-Datos!U18)/Datos!U18,(Datos!K18+Datos!AE18-(Datos!U18+Datos!AM18))/(Datos!U18+Datos!AM18))
     ),IF(D_I="SI",(Datos!K18-Datos!U18)/Datos!U18,(Datos!K18+Datos!AE18-(Datos!U18+Datos!AM18))/(Datos!U18+Datos!AM18))," - ")</f>
        <v>-3.018424147393179E-2</v>
      </c>
      <c r="G18" s="355">
        <f>IF(ISNUMBER(
   IF(D_I="SI",(Datos!L18-Datos!V18)/Datos!V18,(Datos!L18+Datos!AF18-(Datos!V18+Datos!AN18))/(Datos!V18+Datos!AN18))
     ),IF(D_I="SI",(Datos!L18-Datos!V18)/Datos!V18,(Datos!L18+Datos!AF18-(Datos!V18+Datos!AN18))/(Datos!V18+Datos!AN18))," - ")</f>
        <v>0.32155074116305588</v>
      </c>
      <c r="H18" s="356">
        <f>IF(ISNUMBER((Datos!M18-Datos!W18)/Datos!W18),(Datos!M18-Datos!W18)/Datos!W18," - ")</f>
        <v>0.15130830489192265</v>
      </c>
      <c r="I18" s="357">
        <f>IF(ISNUMBER((Tasas!C18-Datos!BE18)/Datos!BE18),(Tasas!C18-Datos!BE18)/Datos!BE18," - ")</f>
        <v>0.362682271910653</v>
      </c>
      <c r="J18" s="355">
        <f>IF(ISNUMBER((Tasas!D18-Datos!BF18)/Datos!BF18),(Tasas!D18-Datos!BF18)/Datos!BF18," - ")</f>
        <v>0.18714126345161464</v>
      </c>
      <c r="K18" s="358">
        <f>IF(ISNUMBER((Tasas!E18-Datos!BG18)/Datos!BG18),(Tasas!E18-Datos!BG18)/Datos!BG18," - ")</f>
        <v>0.11695863442660244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0.29994275901545508</v>
      </c>
      <c r="E19" s="363">
        <f>IF(ISNUMBER(
   IF(J_V="SI",(Datos!J19-Datos!T19)/Datos!T19,(Datos!J19+Datos!Z19-(Datos!T19+Datos!AH19))/(Datos!T19+Datos!AH19))
     ),IF(J_V="SI",(Datos!J19-Datos!T19)/Datos!T19,(Datos!J19+Datos!Z19-(Datos!T19+Datos!AH19))/(Datos!T19+Datos!AH19))," - ")</f>
        <v>0.13882800784404198</v>
      </c>
      <c r="F19" s="363">
        <f>IF(ISNUMBER(
   IF(J_V="SI",(Datos!K19-Datos!U19)/Datos!U19,(Datos!K19+Datos!AA19-(Datos!U19+Datos!AI19))/(Datos!U19+Datos!AI19))
     ),IF(J_V="SI",(Datos!K19-Datos!U19)/Datos!U19,(Datos!K19+Datos!AA19-(Datos!U19+Datos!AI19))/(Datos!U19+Datos!AI19))," - ")</f>
        <v>0.14167051222888785</v>
      </c>
      <c r="G19" s="364">
        <f>IF(ISNUMBER(
   IF(J_V="SI",(Datos!L19-Datos!V19)/Datos!V19,(Datos!L19+Datos!AB19-(Datos!V19+Datos!AJ19))/(Datos!V19+Datos!AJ19))
     ),IF(J_V="SI",(Datos!L19-Datos!V19)/Datos!V19,(Datos!L19+Datos!AB19-(Datos!V19+Datos!AJ19))/(Datos!V19+Datos!AJ19))," - ")</f>
        <v>0.24460590048436812</v>
      </c>
      <c r="H19" s="365">
        <f>IF(ISNUMBER((Datos!M19-Datos!W19)/Datos!W19),(Datos!M19-Datos!W19)/Datos!W19," - ")</f>
        <v>0.29811866859623731</v>
      </c>
      <c r="I19" s="362">
        <f>IF(ISNUMBER((Tasas!C19-Datos!BE19)/Datos!BE19),(Tasas!C19-Datos!BE19)/Datos!BE19," - ")</f>
        <v>9.0162080173656248E-2</v>
      </c>
      <c r="J19" s="363">
        <f>IF(ISNUMBER((Tasas!D19-Datos!BF19)/Datos!BF19),(Tasas!D19-Datos!BF19)/Datos!BF19," - ")</f>
        <v>-0.30562016424638599</v>
      </c>
      <c r="K19" s="364">
        <f>IF(ISNUMBER((Tasas!E19-Datos!BG19)/Datos!BG19),(Tasas!E19-Datos!BG19)/Datos!BG19," - ")</f>
        <v>3.8049567346161904E-2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0.19187198823634388</v>
      </c>
      <c r="E21" s="278">
        <f t="shared" si="1"/>
        <v>0.10465528225323283</v>
      </c>
      <c r="F21" s="278">
        <f t="shared" si="1"/>
        <v>0.41743569260592794</v>
      </c>
      <c r="G21" s="279">
        <f t="shared" si="1"/>
        <v>0.32882654582423898</v>
      </c>
      <c r="H21" s="285">
        <f t="shared" si="1"/>
        <v>0.16232385645711625</v>
      </c>
      <c r="I21" s="277">
        <f t="shared" si="1"/>
        <v>0.57901790541831077</v>
      </c>
      <c r="J21" s="278">
        <f t="shared" si="1"/>
        <v>0.41995280469676394</v>
      </c>
      <c r="K21" s="279">
        <f t="shared" si="1"/>
        <v>0.20684592886546327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r7EmIn08zI6hW5ADnjnRRu7Enh9j9Dd0MHu3v78399QVfzNU1YxNEWmfGTFNk2+rk8G50WJGtlKBxMlA2SSwg==" saltValue="9t7ZtZQhMazN354I0lzb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